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8295" windowHeight="5400" tabRatio="913" activeTab="3"/>
  </bookViews>
  <sheets>
    <sheet name="Introduction" sheetId="1" r:id="rId1"/>
    <sheet name="Intensified Cameras" sheetId="2" r:id="rId2"/>
    <sheet name="Intensified Cameras Chart" sheetId="3" r:id="rId3"/>
    <sheet name="Unintensified Cameras" sheetId="4" r:id="rId4"/>
    <sheet name="Night Vision Products" sheetId="5" r:id="rId5"/>
  </sheets>
  <definedNames>
    <definedName name="_xlnm.Print_Area" localSheetId="1">'Intensified Cameras'!$A$1:$K$45</definedName>
  </definedNames>
  <calcPr fullCalcOnLoad="1"/>
</workbook>
</file>

<file path=xl/sharedStrings.xml><?xml version="1.0" encoding="utf-8"?>
<sst xmlns="http://schemas.openxmlformats.org/spreadsheetml/2006/main" count="209" uniqueCount="72">
  <si>
    <t>Detector</t>
  </si>
  <si>
    <t>mm</t>
  </si>
  <si>
    <t>Size (mm)</t>
  </si>
  <si>
    <t>H-size</t>
  </si>
  <si>
    <t>V-size</t>
  </si>
  <si>
    <t>FOV</t>
  </si>
  <si>
    <t>°</t>
  </si>
  <si>
    <t>H-FOV</t>
  </si>
  <si>
    <t xml:space="preserve">V-FOV </t>
  </si>
  <si>
    <t xml:space="preserve">H-FOV </t>
  </si>
  <si>
    <t>Lens focal length</t>
  </si>
  <si>
    <t>IFOV</t>
  </si>
  <si>
    <t xml:space="preserve">H-IFOV </t>
  </si>
  <si>
    <t xml:space="preserve">V-IFOV </t>
  </si>
  <si>
    <t xml:space="preserve">Number </t>
  </si>
  <si>
    <t>of Pixels</t>
  </si>
  <si>
    <t>H-pixels</t>
  </si>
  <si>
    <t>V-pixels</t>
  </si>
  <si>
    <t>mrad</t>
  </si>
  <si>
    <t>H-Size of object (optional)</t>
  </si>
  <si>
    <t>Range to object (optional)</t>
  </si>
  <si>
    <t>IFOV at Range</t>
  </si>
  <si>
    <t>FOV at Range</t>
  </si>
  <si>
    <t>% of display</t>
  </si>
  <si>
    <t>Max Recognition Range
(8 pixels)</t>
  </si>
  <si>
    <t>Max Detection Range
(2 pixels)</t>
  </si>
  <si>
    <t>% of H display</t>
  </si>
  <si>
    <t>meters</t>
  </si>
  <si>
    <t>(meters)</t>
  </si>
  <si>
    <t>Range 
(meters)</t>
  </si>
  <si>
    <t>Max Identification Range
(13 pixels)</t>
  </si>
  <si>
    <t>Product</t>
  </si>
  <si>
    <t>Format</t>
  </si>
  <si>
    <t>H (µm)</t>
  </si>
  <si>
    <t>V (µm)</t>
  </si>
  <si>
    <t>Pixel pitch (µm)</t>
  </si>
  <si>
    <t xml:space="preserve">D-FOV </t>
  </si>
  <si>
    <t>Nikon D200</t>
  </si>
  <si>
    <t>Canon 30D</t>
  </si>
  <si>
    <t>Sony HVR-Z1U</t>
  </si>
  <si>
    <t>(cm)</t>
  </si>
  <si>
    <t>Panasonic AG-HVX200</t>
  </si>
  <si>
    <t>Lens focal length (max)</t>
  </si>
  <si>
    <t>Canon XL-H1 (HD)</t>
  </si>
  <si>
    <t>Sony DSR-PD170</t>
  </si>
  <si>
    <t>Canon GL2</t>
  </si>
  <si>
    <t>Canon XL2</t>
  </si>
  <si>
    <t>Standard Format</t>
  </si>
  <si>
    <t>HD Format</t>
  </si>
  <si>
    <t>Digital Cameras</t>
  </si>
  <si>
    <t>(mrad)</t>
  </si>
  <si>
    <t>Note:</t>
  </si>
  <si>
    <t>*** Panasonic AG-HVX200 uses pixel shift to achieve higher resolution.</t>
  </si>
  <si>
    <t>3 x 1/3"</t>
  </si>
  <si>
    <t xml:space="preserve">3 x 1/4" </t>
  </si>
  <si>
    <t>3 x 1.1M</t>
  </si>
  <si>
    <t>3 x 0.5M***</t>
  </si>
  <si>
    <t>3 x 1.7M</t>
  </si>
  <si>
    <t>1 x 8.5M</t>
  </si>
  <si>
    <t>1 x 10.9M</t>
  </si>
  <si>
    <t>Night Vision Goggle</t>
  </si>
  <si>
    <t>CIU-3</t>
  </si>
  <si>
    <t>AN/PVS-7</t>
  </si>
  <si>
    <t>Night Vision Range Calculator</t>
  </si>
  <si>
    <t>Canon 
GL2</t>
  </si>
  <si>
    <t>Canon 
XL2</t>
  </si>
  <si>
    <t>Canon 
XL-H1 (HD)</t>
  </si>
  <si>
    <t>Canon 
30D</t>
  </si>
  <si>
    <t>AstroScope Intensified COTS Cameras</t>
  </si>
  <si>
    <t>Un-intensified COTS Cameras</t>
  </si>
  <si>
    <t>AstroScope Gen III</t>
  </si>
  <si>
    <t>Sony 
HVR-Z1</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</si>
</sst>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0"/>
    <numFmt numFmtId="176" formatCode="0.000"/>
    <numFmt numFmtId="177" formatCode="0.0000"/>
    <numFmt numFmtId="178" formatCode="0.0%"/>
    <numFmt numFmtId="179" formatCode="0.00000"/>
    <numFmt numFmtId="180" formatCode="[$€-2]\ #,##0.00_);[Red]\([$€-2]\ #,##0.00\)"/>
  </numFmts>
  <fonts count="13">
    <font>
      <sz val="10"/>
      <name val="Arial"/>
      <family val="0"/>
    </font>
    <font>
      <b/>
      <sz val="10"/>
      <name val="Arial"/>
      <family val="2"/>
    </font>
    <font>
      <u val="single"/>
      <sz val="10"/>
      <color indexed="12"/>
      <name val="Arial"/>
      <family val="0"/>
    </font>
    <font>
      <u val="single"/>
      <sz val="10"/>
      <color indexed="36"/>
      <name val="Arial"/>
      <family val="0"/>
    </font>
    <font>
      <b/>
      <sz val="10"/>
      <color indexed="8"/>
      <name val="Arial"/>
      <family val="2"/>
    </font>
    <font>
      <sz val="10"/>
      <color indexed="18"/>
      <name val="Arial"/>
      <family val="2"/>
    </font>
    <font>
      <b/>
      <sz val="10"/>
      <color indexed="10"/>
      <name val="Arial"/>
      <family val="2"/>
    </font>
    <font>
      <sz val="10"/>
      <color indexed="8"/>
      <name val="Verdana"/>
      <family val="2"/>
    </font>
    <font>
      <sz val="8"/>
      <name val="Arial"/>
      <family val="0"/>
    </font>
    <font>
      <b/>
      <sz val="12"/>
      <name val="Arial"/>
      <family val="2"/>
    </font>
    <font>
      <sz val="10"/>
      <color indexed="9"/>
      <name val="Arial"/>
      <family val="0"/>
    </font>
    <font>
      <sz val="10.75"/>
      <name val="Arial"/>
      <family val="0"/>
    </font>
    <font>
      <b/>
      <sz val="10.75"/>
      <name val="Arial"/>
      <family val="0"/>
    </font>
  </fonts>
  <fills count="7">
    <fill>
      <patternFill/>
    </fill>
    <fill>
      <patternFill patternType="gray125"/>
    </fill>
    <fill>
      <patternFill patternType="solid">
        <fgColor indexed="26"/>
        <bgColor indexed="64"/>
      </patternFill>
    </fill>
    <fill>
      <patternFill patternType="solid">
        <fgColor indexed="15"/>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s>
  <borders count="17">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dotted"/>
    </border>
    <border>
      <left style="thin"/>
      <right style="thin"/>
      <top style="thin"/>
      <bottom style="dotted"/>
    </border>
    <border>
      <left style="thin"/>
      <right style="thin"/>
      <top style="dotted"/>
      <bottom style="thin"/>
    </border>
    <border>
      <left style="thin"/>
      <right style="thin"/>
      <top style="hair"/>
      <bottom style="thin"/>
    </border>
    <border>
      <left style="thin"/>
      <right style="thin"/>
      <top style="thin"/>
      <bottom style="hair"/>
    </border>
    <border>
      <left style="thin"/>
      <right style="thin"/>
      <top style="dotted"/>
      <bottom style="dotted"/>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0" fillId="0" borderId="0" xfId="0" applyAlignment="1" applyProtection="1">
      <alignment/>
      <protection/>
    </xf>
    <xf numFmtId="0" fontId="1" fillId="0" borderId="0" xfId="0" applyFont="1" applyAlignment="1" applyProtection="1">
      <alignment/>
      <protection/>
    </xf>
    <xf numFmtId="175" fontId="0" fillId="0" borderId="0" xfId="0" applyNumberFormat="1" applyAlignment="1" applyProtection="1">
      <alignment/>
      <protection/>
    </xf>
    <xf numFmtId="0" fontId="1" fillId="0" borderId="0" xfId="0" applyFont="1" applyBorder="1" applyAlignment="1" applyProtection="1">
      <alignment/>
      <protection/>
    </xf>
    <xf numFmtId="0" fontId="7" fillId="0" borderId="0" xfId="0" applyFont="1" applyAlignment="1" applyProtection="1">
      <alignment/>
      <protection/>
    </xf>
    <xf numFmtId="0" fontId="6" fillId="0" borderId="0" xfId="0" applyFont="1" applyAlignment="1" applyProtection="1">
      <alignment/>
      <protection/>
    </xf>
    <xf numFmtId="0" fontId="1" fillId="0" borderId="0" xfId="0" applyFont="1" applyBorder="1" applyAlignment="1" applyProtection="1">
      <alignment horizontal="right"/>
      <protection/>
    </xf>
    <xf numFmtId="0" fontId="1" fillId="2" borderId="1" xfId="0" applyFont="1" applyFill="1" applyBorder="1" applyAlignment="1" applyProtection="1">
      <alignment/>
      <protection/>
    </xf>
    <xf numFmtId="0" fontId="0" fillId="2" borderId="1" xfId="0" applyFill="1" applyBorder="1" applyAlignment="1" applyProtection="1">
      <alignment/>
      <protection/>
    </xf>
    <xf numFmtId="0" fontId="1" fillId="2" borderId="1" xfId="0" applyFont="1" applyFill="1" applyBorder="1" applyAlignment="1" applyProtection="1">
      <alignment horizontal="center" wrapText="1"/>
      <protection/>
    </xf>
    <xf numFmtId="0" fontId="0" fillId="2" borderId="2" xfId="0" applyFill="1" applyBorder="1" applyAlignment="1" applyProtection="1">
      <alignment/>
      <protection/>
    </xf>
    <xf numFmtId="0" fontId="1" fillId="2" borderId="2" xfId="0" applyFont="1" applyFill="1" applyBorder="1" applyAlignment="1" applyProtection="1">
      <alignment/>
      <protection/>
    </xf>
    <xf numFmtId="0" fontId="0" fillId="2" borderId="2" xfId="0" applyFont="1" applyFill="1" applyBorder="1" applyAlignment="1" applyProtection="1">
      <alignment horizontal="center" wrapText="1"/>
      <protection/>
    </xf>
    <xf numFmtId="0" fontId="0" fillId="2" borderId="2" xfId="0" applyFont="1" applyFill="1" applyBorder="1" applyAlignment="1" applyProtection="1">
      <alignment horizontal="center"/>
      <protection/>
    </xf>
    <xf numFmtId="0" fontId="1" fillId="0" borderId="3" xfId="0" applyFont="1" applyBorder="1" applyAlignment="1" applyProtection="1">
      <alignment horizontal="right"/>
      <protection/>
    </xf>
    <xf numFmtId="0" fontId="1" fillId="0" borderId="3" xfId="0" applyFont="1" applyFill="1" applyBorder="1" applyAlignment="1" applyProtection="1">
      <alignment/>
      <protection/>
    </xf>
    <xf numFmtId="1" fontId="0" fillId="3" borderId="3" xfId="0" applyNumberFormat="1" applyFont="1" applyFill="1" applyBorder="1" applyAlignment="1" applyProtection="1">
      <alignment horizontal="right" wrapText="1"/>
      <protection/>
    </xf>
    <xf numFmtId="1" fontId="0" fillId="3" borderId="0" xfId="0" applyNumberFormat="1" applyFont="1" applyFill="1" applyAlignment="1" applyProtection="1">
      <alignment/>
      <protection/>
    </xf>
    <xf numFmtId="1" fontId="0" fillId="3" borderId="3" xfId="0" applyNumberFormat="1" applyFont="1" applyFill="1" applyBorder="1" applyAlignment="1" applyProtection="1">
      <alignment horizontal="right"/>
      <protection/>
    </xf>
    <xf numFmtId="0" fontId="1" fillId="4" borderId="4" xfId="0" applyFont="1" applyFill="1" applyBorder="1" applyAlignment="1" applyProtection="1">
      <alignment/>
      <protection/>
    </xf>
    <xf numFmtId="175" fontId="0" fillId="0" borderId="5" xfId="0" applyNumberFormat="1" applyFont="1" applyFill="1" applyBorder="1" applyAlignment="1" applyProtection="1">
      <alignment horizontal="right"/>
      <protection/>
    </xf>
    <xf numFmtId="175" fontId="0" fillId="4" borderId="6" xfId="0" applyNumberFormat="1" applyFont="1" applyFill="1" applyBorder="1" applyAlignment="1" applyProtection="1">
      <alignment horizontal="right"/>
      <protection/>
    </xf>
    <xf numFmtId="0" fontId="1" fillId="4" borderId="7" xfId="0" applyFont="1" applyFill="1" applyBorder="1" applyAlignment="1" applyProtection="1">
      <alignment/>
      <protection/>
    </xf>
    <xf numFmtId="175" fontId="0" fillId="0" borderId="7" xfId="0" applyNumberFormat="1" applyFont="1" applyFill="1" applyBorder="1" applyAlignment="1" applyProtection="1">
      <alignment horizontal="right"/>
      <protection/>
    </xf>
    <xf numFmtId="175" fontId="0" fillId="4" borderId="7" xfId="0" applyNumberFormat="1" applyFont="1" applyFill="1" applyBorder="1" applyAlignment="1" applyProtection="1">
      <alignment horizontal="right"/>
      <protection/>
    </xf>
    <xf numFmtId="0" fontId="1" fillId="4" borderId="1" xfId="0" applyFont="1" applyFill="1" applyBorder="1" applyAlignment="1" applyProtection="1">
      <alignment horizontal="center"/>
      <protection/>
    </xf>
    <xf numFmtId="0" fontId="1" fillId="4" borderId="1" xfId="0" applyFont="1" applyFill="1" applyBorder="1" applyAlignment="1" applyProtection="1">
      <alignment/>
      <protection/>
    </xf>
    <xf numFmtId="175" fontId="0" fillId="0" borderId="1" xfId="0" applyNumberFormat="1" applyFont="1" applyFill="1" applyBorder="1" applyAlignment="1" applyProtection="1">
      <alignment/>
      <protection/>
    </xf>
    <xf numFmtId="0" fontId="1" fillId="4" borderId="2" xfId="0" applyFont="1" applyFill="1" applyBorder="1" applyAlignment="1" applyProtection="1">
      <alignment horizontal="center"/>
      <protection/>
    </xf>
    <xf numFmtId="175" fontId="0" fillId="0" borderId="8" xfId="0" applyNumberFormat="1" applyFont="1" applyFill="1" applyBorder="1" applyAlignment="1" applyProtection="1">
      <alignment/>
      <protection/>
    </xf>
    <xf numFmtId="0" fontId="1" fillId="4" borderId="6" xfId="0" applyFont="1" applyFill="1" applyBorder="1" applyAlignment="1" applyProtection="1">
      <alignment/>
      <protection/>
    </xf>
    <xf numFmtId="0" fontId="0" fillId="0" borderId="9" xfId="0" applyFont="1" applyFill="1" applyBorder="1" applyAlignment="1" applyProtection="1">
      <alignment/>
      <protection/>
    </xf>
    <xf numFmtId="1" fontId="0" fillId="4" borderId="1" xfId="0" applyNumberFormat="1" applyFont="1" applyFill="1" applyBorder="1" applyAlignment="1" applyProtection="1">
      <alignment/>
      <protection/>
    </xf>
    <xf numFmtId="0" fontId="1" fillId="4" borderId="2" xfId="0" applyFont="1" applyFill="1" applyBorder="1" applyAlignment="1" applyProtection="1">
      <alignment/>
      <protection/>
    </xf>
    <xf numFmtId="0" fontId="0" fillId="0" borderId="4" xfId="0" applyFont="1" applyFill="1" applyBorder="1" applyAlignment="1" applyProtection="1">
      <alignment/>
      <protection/>
    </xf>
    <xf numFmtId="1" fontId="0" fillId="0" borderId="4" xfId="0" applyNumberFormat="1" applyFont="1" applyFill="1" applyBorder="1" applyAlignment="1" applyProtection="1">
      <alignment/>
      <protection/>
    </xf>
    <xf numFmtId="1" fontId="0" fillId="4" borderId="8" xfId="0" applyNumberFormat="1" applyFont="1" applyFill="1" applyBorder="1" applyAlignment="1" applyProtection="1">
      <alignment/>
      <protection/>
    </xf>
    <xf numFmtId="0" fontId="1" fillId="0" borderId="1" xfId="0" applyFont="1" applyBorder="1" applyAlignment="1" applyProtection="1">
      <alignment/>
      <protection/>
    </xf>
    <xf numFmtId="175" fontId="0" fillId="3" borderId="1" xfId="0" applyNumberFormat="1" applyFont="1" applyFill="1" applyBorder="1" applyAlignment="1" applyProtection="1">
      <alignment/>
      <protection/>
    </xf>
    <xf numFmtId="175" fontId="0" fillId="3" borderId="1" xfId="0" applyNumberFormat="1" applyFill="1" applyBorder="1" applyAlignment="1" applyProtection="1">
      <alignment/>
      <protection/>
    </xf>
    <xf numFmtId="0" fontId="1" fillId="4" borderId="4" xfId="0" applyFont="1" applyFill="1" applyBorder="1" applyAlignment="1" applyProtection="1">
      <alignment horizontal="center"/>
      <protection/>
    </xf>
    <xf numFmtId="0" fontId="1" fillId="0" borderId="10" xfId="0" applyFont="1" applyBorder="1" applyAlignment="1" applyProtection="1">
      <alignment/>
      <protection/>
    </xf>
    <xf numFmtId="175" fontId="0" fillId="3" borderId="10" xfId="0" applyNumberFormat="1" applyFont="1" applyFill="1" applyBorder="1" applyAlignment="1" applyProtection="1">
      <alignment/>
      <protection/>
    </xf>
    <xf numFmtId="175" fontId="0" fillId="3" borderId="10" xfId="0" applyNumberFormat="1" applyFill="1" applyBorder="1" applyAlignment="1" applyProtection="1">
      <alignment/>
      <protection/>
    </xf>
    <xf numFmtId="0" fontId="1" fillId="0" borderId="2" xfId="0" applyFont="1" applyBorder="1" applyAlignment="1" applyProtection="1">
      <alignment/>
      <protection/>
    </xf>
    <xf numFmtId="175" fontId="0" fillId="3" borderId="5" xfId="0" applyNumberFormat="1" applyFont="1" applyFill="1" applyBorder="1" applyAlignment="1" applyProtection="1">
      <alignment/>
      <protection/>
    </xf>
    <xf numFmtId="175" fontId="0" fillId="3" borderId="5" xfId="0" applyNumberFormat="1" applyFill="1" applyBorder="1" applyAlignment="1" applyProtection="1">
      <alignment/>
      <protection/>
    </xf>
    <xf numFmtId="0" fontId="0" fillId="0" borderId="0" xfId="0" applyBorder="1" applyAlignment="1" applyProtection="1">
      <alignment/>
      <protection/>
    </xf>
    <xf numFmtId="175" fontId="0" fillId="0" borderId="0" xfId="0" applyNumberFormat="1" applyFill="1" applyBorder="1" applyAlignment="1" applyProtection="1">
      <alignment/>
      <protection/>
    </xf>
    <xf numFmtId="0" fontId="1" fillId="4" borderId="1" xfId="0" applyFont="1" applyFill="1" applyBorder="1" applyAlignment="1" applyProtection="1">
      <alignment horizontal="center" wrapText="1"/>
      <protection/>
    </xf>
    <xf numFmtId="0" fontId="1" fillId="0" borderId="6" xfId="0" applyFont="1" applyBorder="1" applyAlignment="1" applyProtection="1">
      <alignment/>
      <protection/>
    </xf>
    <xf numFmtId="175" fontId="0" fillId="5" borderId="6" xfId="0" applyNumberFormat="1" applyFill="1" applyBorder="1" applyAlignment="1" applyProtection="1">
      <alignment/>
      <protection/>
    </xf>
    <xf numFmtId="0" fontId="1" fillId="0" borderId="7" xfId="0" applyFont="1" applyBorder="1" applyAlignment="1" applyProtection="1">
      <alignment/>
      <protection/>
    </xf>
    <xf numFmtId="175" fontId="0" fillId="5" borderId="7" xfId="0" applyNumberFormat="1" applyFill="1" applyBorder="1" applyAlignment="1" applyProtection="1">
      <alignment/>
      <protection/>
    </xf>
    <xf numFmtId="0" fontId="5" fillId="0" borderId="0" xfId="0" applyFont="1" applyBorder="1" applyAlignment="1" applyProtection="1">
      <alignment/>
      <protection/>
    </xf>
    <xf numFmtId="176" fontId="0" fillId="0" borderId="1" xfId="0" applyNumberFormat="1" applyBorder="1" applyAlignment="1" applyProtection="1">
      <alignment/>
      <protection/>
    </xf>
    <xf numFmtId="177" fontId="0" fillId="0" borderId="0" xfId="0" applyNumberFormat="1" applyFill="1" applyBorder="1" applyAlignment="1" applyProtection="1">
      <alignment/>
      <protection/>
    </xf>
    <xf numFmtId="176" fontId="0" fillId="0" borderId="10" xfId="0" applyNumberFormat="1" applyBorder="1" applyAlignment="1" applyProtection="1">
      <alignment/>
      <protection/>
    </xf>
    <xf numFmtId="176" fontId="0" fillId="5" borderId="6" xfId="0" applyNumberFormat="1" applyFill="1" applyBorder="1" applyAlignment="1" applyProtection="1">
      <alignment/>
      <protection/>
    </xf>
    <xf numFmtId="176" fontId="0" fillId="5" borderId="7" xfId="0" applyNumberFormat="1" applyFill="1" applyBorder="1" applyAlignment="1" applyProtection="1">
      <alignment/>
      <protection/>
    </xf>
    <xf numFmtId="0" fontId="1" fillId="0" borderId="1" xfId="0" applyFont="1" applyBorder="1" applyAlignment="1" applyProtection="1">
      <alignment wrapText="1"/>
      <protection/>
    </xf>
    <xf numFmtId="1" fontId="0" fillId="6" borderId="1" xfId="0" applyNumberFormat="1" applyFill="1" applyBorder="1" applyAlignment="1" applyProtection="1">
      <alignment/>
      <protection/>
    </xf>
    <xf numFmtId="10" fontId="0" fillId="0" borderId="7" xfId="21" applyNumberFormat="1" applyBorder="1" applyAlignment="1" applyProtection="1">
      <alignment/>
      <protection/>
    </xf>
    <xf numFmtId="1" fontId="0" fillId="6" borderId="6" xfId="0" applyNumberFormat="1" applyFill="1" applyBorder="1" applyAlignment="1" applyProtection="1">
      <alignment/>
      <protection/>
    </xf>
    <xf numFmtId="10" fontId="0" fillId="0" borderId="2" xfId="21" applyNumberFormat="1" applyBorder="1" applyAlignment="1" applyProtection="1">
      <alignment/>
      <protection/>
    </xf>
    <xf numFmtId="10" fontId="0" fillId="0" borderId="2" xfId="21" applyNumberFormat="1" applyFont="1" applyBorder="1" applyAlignment="1" applyProtection="1">
      <alignment/>
      <protection/>
    </xf>
    <xf numFmtId="175" fontId="0" fillId="0" borderId="0" xfId="0" applyNumberFormat="1" applyBorder="1" applyAlignment="1" applyProtection="1">
      <alignment/>
      <protection/>
    </xf>
    <xf numFmtId="0" fontId="0" fillId="0" borderId="3" xfId="0" applyFont="1" applyFill="1" applyBorder="1" applyAlignment="1" applyProtection="1">
      <alignment horizontal="right" wrapText="1"/>
      <protection/>
    </xf>
    <xf numFmtId="175" fontId="0" fillId="0" borderId="6" xfId="0" applyNumberFormat="1" applyFont="1" applyFill="1" applyBorder="1" applyAlignment="1" applyProtection="1">
      <alignment/>
      <protection/>
    </xf>
    <xf numFmtId="175" fontId="0" fillId="4" borderId="6" xfId="0" applyNumberFormat="1" applyFont="1" applyFill="1" applyBorder="1" applyAlignment="1" applyProtection="1">
      <alignment/>
      <protection/>
    </xf>
    <xf numFmtId="175" fontId="0" fillId="0" borderId="2" xfId="0" applyNumberFormat="1" applyFont="1" applyFill="1" applyBorder="1" applyAlignment="1" applyProtection="1">
      <alignment/>
      <protection/>
    </xf>
    <xf numFmtId="175" fontId="0" fillId="4" borderId="2" xfId="0" applyNumberFormat="1" applyFont="1" applyFill="1" applyBorder="1" applyAlignment="1" applyProtection="1">
      <alignment/>
      <protection/>
    </xf>
    <xf numFmtId="0" fontId="0" fillId="0" borderId="6" xfId="0" applyFont="1" applyFill="1" applyBorder="1" applyAlignment="1" applyProtection="1">
      <alignment/>
      <protection/>
    </xf>
    <xf numFmtId="0" fontId="0" fillId="4" borderId="6" xfId="0" applyFont="1" applyFill="1" applyBorder="1" applyAlignment="1" applyProtection="1">
      <alignment/>
      <protection/>
    </xf>
    <xf numFmtId="0" fontId="0" fillId="4" borderId="4" xfId="0" applyFont="1" applyFill="1" applyBorder="1" applyAlignment="1" applyProtection="1">
      <alignment/>
      <protection/>
    </xf>
    <xf numFmtId="175" fontId="0" fillId="0" borderId="10" xfId="0" applyNumberFormat="1" applyFont="1" applyFill="1" applyBorder="1" applyAlignment="1" applyProtection="1">
      <alignment/>
      <protection/>
    </xf>
    <xf numFmtId="175" fontId="0" fillId="0" borderId="5" xfId="0" applyNumberFormat="1" applyFont="1" applyFill="1" applyBorder="1" applyAlignment="1" applyProtection="1">
      <alignment/>
      <protection/>
    </xf>
    <xf numFmtId="0" fontId="1" fillId="2" borderId="2" xfId="0" applyFont="1" applyFill="1" applyBorder="1" applyAlignment="1" applyProtection="1">
      <alignment horizontal="center"/>
      <protection/>
    </xf>
    <xf numFmtId="175" fontId="0" fillId="0" borderId="1" xfId="0" applyNumberFormat="1" applyBorder="1" applyAlignment="1" applyProtection="1">
      <alignment/>
      <protection/>
    </xf>
    <xf numFmtId="175" fontId="0" fillId="0" borderId="10" xfId="0" applyNumberFormat="1" applyBorder="1" applyAlignment="1" applyProtection="1">
      <alignment/>
      <protection/>
    </xf>
    <xf numFmtId="175" fontId="0" fillId="0" borderId="5" xfId="0" applyNumberFormat="1" applyBorder="1" applyAlignment="1" applyProtection="1">
      <alignment/>
      <protection/>
    </xf>
    <xf numFmtId="0" fontId="0" fillId="0" borderId="0" xfId="0" applyAlignment="1" applyProtection="1">
      <alignment horizontal="center"/>
      <protection/>
    </xf>
    <xf numFmtId="0" fontId="1" fillId="0" borderId="3" xfId="0" applyFont="1" applyFill="1" applyBorder="1" applyAlignment="1" applyProtection="1">
      <alignment horizontal="right"/>
      <protection/>
    </xf>
    <xf numFmtId="1" fontId="1" fillId="3" borderId="3" xfId="0" applyNumberFormat="1" applyFont="1" applyFill="1" applyBorder="1" applyAlignment="1" applyProtection="1">
      <alignment horizontal="right"/>
      <protection/>
    </xf>
    <xf numFmtId="175" fontId="0" fillId="4" borderId="4" xfId="0" applyNumberFormat="1" applyFont="1" applyFill="1" applyBorder="1" applyAlignment="1" applyProtection="1">
      <alignment horizontal="right"/>
      <protection/>
    </xf>
    <xf numFmtId="0" fontId="0" fillId="4" borderId="1" xfId="0" applyFont="1" applyFill="1" applyBorder="1" applyAlignment="1" applyProtection="1">
      <alignment/>
      <protection/>
    </xf>
    <xf numFmtId="0" fontId="0" fillId="4" borderId="7" xfId="0" applyFont="1" applyFill="1" applyBorder="1" applyAlignment="1" applyProtection="1">
      <alignment/>
      <protection/>
    </xf>
    <xf numFmtId="0" fontId="0" fillId="4" borderId="5" xfId="0" applyFont="1" applyFill="1" applyBorder="1" applyAlignment="1" applyProtection="1">
      <alignment/>
      <protection/>
    </xf>
    <xf numFmtId="176" fontId="0" fillId="3" borderId="1" xfId="0" applyNumberFormat="1" applyFill="1" applyBorder="1" applyAlignment="1" applyProtection="1">
      <alignment/>
      <protection/>
    </xf>
    <xf numFmtId="176" fontId="0" fillId="3" borderId="10" xfId="0" applyNumberFormat="1" applyFill="1" applyBorder="1" applyAlignment="1" applyProtection="1">
      <alignment/>
      <protection/>
    </xf>
    <xf numFmtId="0" fontId="0" fillId="0" borderId="0" xfId="0" applyFill="1" applyAlignment="1" applyProtection="1">
      <alignment/>
      <protection/>
    </xf>
    <xf numFmtId="1" fontId="0" fillId="0" borderId="0" xfId="0" applyNumberFormat="1" applyBorder="1" applyAlignment="1" applyProtection="1">
      <alignment/>
      <protection/>
    </xf>
    <xf numFmtId="0" fontId="10" fillId="0" borderId="0" xfId="0" applyFont="1" applyFill="1" applyBorder="1" applyAlignment="1" applyProtection="1">
      <alignment/>
      <protection/>
    </xf>
    <xf numFmtId="1" fontId="10" fillId="0" borderId="0" xfId="0" applyNumberFormat="1" applyFont="1" applyFill="1" applyBorder="1" applyAlignment="1" applyProtection="1">
      <alignment/>
      <protection/>
    </xf>
    <xf numFmtId="175" fontId="10" fillId="0" borderId="0" xfId="0" applyNumberFormat="1" applyFont="1" applyFill="1" applyBorder="1" applyAlignment="1" applyProtection="1">
      <alignment/>
      <protection/>
    </xf>
    <xf numFmtId="0" fontId="10" fillId="0" borderId="0" xfId="0" applyFont="1" applyBorder="1" applyAlignment="1" applyProtection="1">
      <alignment/>
      <protection/>
    </xf>
    <xf numFmtId="0" fontId="1" fillId="3" borderId="11" xfId="0" applyFont="1" applyFill="1" applyBorder="1" applyAlignment="1" applyProtection="1">
      <alignment/>
      <protection/>
    </xf>
    <xf numFmtId="0" fontId="1" fillId="3" borderId="12" xfId="0" applyFont="1" applyFill="1" applyBorder="1" applyAlignment="1" applyProtection="1">
      <alignment horizontal="right"/>
      <protection/>
    </xf>
    <xf numFmtId="0" fontId="1" fillId="5" borderId="11" xfId="0" applyFont="1" applyFill="1" applyBorder="1" applyAlignment="1" applyProtection="1">
      <alignment/>
      <protection/>
    </xf>
    <xf numFmtId="0" fontId="1" fillId="5" borderId="12" xfId="0" applyFont="1" applyFill="1" applyBorder="1" applyAlignment="1" applyProtection="1">
      <alignment horizontal="right"/>
      <protection/>
    </xf>
    <xf numFmtId="0" fontId="1" fillId="6" borderId="11" xfId="0" applyFont="1" applyFill="1" applyBorder="1" applyAlignment="1" applyProtection="1">
      <alignment/>
      <protection/>
    </xf>
    <xf numFmtId="0" fontId="1" fillId="6" borderId="12" xfId="0" applyFont="1" applyFill="1" applyBorder="1" applyAlignment="1" applyProtection="1">
      <alignment horizontal="right"/>
      <protection/>
    </xf>
    <xf numFmtId="0" fontId="4" fillId="0" borderId="13" xfId="0" applyFont="1" applyFill="1" applyBorder="1" applyAlignment="1" applyProtection="1">
      <alignment/>
      <protection locked="0"/>
    </xf>
    <xf numFmtId="0" fontId="1" fillId="3" borderId="14" xfId="0" applyFont="1" applyFill="1" applyBorder="1" applyAlignment="1" applyProtection="1">
      <alignment/>
      <protection/>
    </xf>
    <xf numFmtId="0" fontId="1" fillId="5" borderId="14" xfId="0" applyFont="1" applyFill="1" applyBorder="1" applyAlignment="1" applyProtection="1">
      <alignment/>
      <protection/>
    </xf>
    <xf numFmtId="0" fontId="1" fillId="6" borderId="14" xfId="0" applyFont="1" applyFill="1" applyBorder="1" applyAlignment="1" applyProtection="1">
      <alignment/>
      <protection/>
    </xf>
    <xf numFmtId="1" fontId="4" fillId="0" borderId="15" xfId="0" applyNumberFormat="1" applyFont="1" applyFill="1" applyBorder="1" applyAlignment="1" applyProtection="1">
      <alignment/>
      <protection locked="0"/>
    </xf>
    <xf numFmtId="0" fontId="4" fillId="0" borderId="16" xfId="0" applyFont="1" applyFill="1" applyBorder="1" applyAlignment="1" applyProtection="1">
      <alignment/>
      <protection locked="0"/>
    </xf>
    <xf numFmtId="175" fontId="1" fillId="0" borderId="0" xfId="0" applyNumberFormat="1" applyFont="1" applyBorder="1" applyAlignment="1" applyProtection="1">
      <alignment/>
      <protection/>
    </xf>
    <xf numFmtId="0" fontId="1" fillId="2" borderId="11" xfId="0" applyFont="1" applyFill="1" applyBorder="1" applyAlignment="1" applyProtection="1">
      <alignment horizontal="center"/>
      <protection/>
    </xf>
    <xf numFmtId="0" fontId="0" fillId="0" borderId="12" xfId="0" applyBorder="1" applyAlignment="1" applyProtection="1">
      <alignment horizontal="center"/>
      <protection/>
    </xf>
    <xf numFmtId="0" fontId="0" fillId="0" borderId="14" xfId="0" applyBorder="1" applyAlignment="1" applyProtection="1">
      <alignment horizontal="center"/>
      <protection/>
    </xf>
    <xf numFmtId="0" fontId="1" fillId="4" borderId="4" xfId="0" applyFont="1" applyFill="1" applyBorder="1" applyAlignment="1" applyProtection="1">
      <alignment horizontal="center" vertical="center" wrapText="1"/>
      <protection/>
    </xf>
    <xf numFmtId="0" fontId="0" fillId="0" borderId="2" xfId="0" applyBorder="1" applyAlignment="1" applyProtection="1">
      <alignment horizontal="center" vertical="center" wrapText="1"/>
      <protection/>
    </xf>
    <xf numFmtId="0" fontId="1" fillId="2" borderId="3" xfId="0" applyFont="1" applyFill="1" applyBorder="1" applyAlignment="1" applyProtection="1">
      <alignment horizontal="center"/>
      <protection/>
    </xf>
    <xf numFmtId="0" fontId="0" fillId="0" borderId="3" xfId="0" applyBorder="1" applyAlignment="1" applyProtection="1">
      <alignment horizontal="center"/>
      <protection/>
    </xf>
    <xf numFmtId="0" fontId="1" fillId="2" borderId="14" xfId="0"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Maximum Detectable Range for Observation of Man-sized Objects 
Using AstroScope-Intensified COTS Cameras 
(with 75mm Objective Lens)</a:t>
            </a:r>
          </a:p>
        </c:rich>
      </c:tx>
      <c:layout>
        <c:manualLayout>
          <c:xMode val="factor"/>
          <c:yMode val="factor"/>
          <c:x val="-0.059"/>
          <c:y val="0"/>
        </c:manualLayout>
      </c:layout>
      <c:spPr>
        <a:noFill/>
        <a:ln>
          <a:noFill/>
        </a:ln>
      </c:spPr>
    </c:title>
    <c:plotArea>
      <c:layout>
        <c:manualLayout>
          <c:xMode val="edge"/>
          <c:yMode val="edge"/>
          <c:x val="0.0385"/>
          <c:y val="0.17525"/>
          <c:w val="0.759"/>
          <c:h val="0.8085"/>
        </c:manualLayout>
      </c:layout>
      <c:scatterChart>
        <c:scatterStyle val="lineMarker"/>
        <c:varyColors val="0"/>
        <c:ser>
          <c:idx val="0"/>
          <c:order val="0"/>
          <c:tx>
            <c:strRef>
              <c:f>'Intensified Cameras'!$E$56</c:f>
              <c:strCache>
                <c:ptCount val="1"/>
                <c:pt idx="0">
                  <c:v>Sony DSR-PD170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xVal>
            <c:numRef>
              <c:f>'Intensified Cameras'!$D$57:$D$64</c:f>
              <c:numCache>
                <c:ptCount val="8"/>
                <c:pt idx="0">
                  <c:v>1</c:v>
                </c:pt>
                <c:pt idx="1">
                  <c:v>2</c:v>
                </c:pt>
                <c:pt idx="2">
                  <c:v>3</c:v>
                </c:pt>
                <c:pt idx="3">
                  <c:v>4</c:v>
                </c:pt>
                <c:pt idx="4">
                  <c:v>5</c:v>
                </c:pt>
                <c:pt idx="5">
                  <c:v>6</c:v>
                </c:pt>
                <c:pt idx="6">
                  <c:v>7</c:v>
                </c:pt>
                <c:pt idx="7">
                  <c:v>8</c:v>
                </c:pt>
              </c:numCache>
            </c:numRef>
          </c:xVal>
          <c:yVal>
            <c:numRef>
              <c:f>'Intensified Cameras'!$E$57:$E$64</c:f>
              <c:numCache>
                <c:ptCount val="8"/>
                <c:pt idx="0">
                  <c:v>717.8571428571427</c:v>
                </c:pt>
              </c:numCache>
            </c:numRef>
          </c:yVal>
          <c:smooth val="0"/>
        </c:ser>
        <c:ser>
          <c:idx val="1"/>
          <c:order val="1"/>
          <c:tx>
            <c:strRef>
              <c:f>'Intensified Cameras'!$F$56</c:f>
              <c:strCache>
                <c:ptCount val="1"/>
                <c:pt idx="0">
                  <c:v>Canon GL2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FF00FF"/>
              </a:solidFill>
              <a:ln>
                <a:solidFill>
                  <a:srgbClr val="FF00FF"/>
                </a:solidFill>
              </a:ln>
            </c:spPr>
          </c:marker>
          <c:xVal>
            <c:numRef>
              <c:f>'Intensified Cameras'!$D$57:$D$64</c:f>
              <c:numCache>
                <c:ptCount val="8"/>
                <c:pt idx="0">
                  <c:v>1</c:v>
                </c:pt>
                <c:pt idx="1">
                  <c:v>2</c:v>
                </c:pt>
                <c:pt idx="2">
                  <c:v>3</c:v>
                </c:pt>
                <c:pt idx="3">
                  <c:v>4</c:v>
                </c:pt>
                <c:pt idx="4">
                  <c:v>5</c:v>
                </c:pt>
                <c:pt idx="5">
                  <c:v>6</c:v>
                </c:pt>
                <c:pt idx="6">
                  <c:v>7</c:v>
                </c:pt>
                <c:pt idx="7">
                  <c:v>8</c:v>
                </c:pt>
              </c:numCache>
            </c:numRef>
          </c:xVal>
          <c:yVal>
            <c:numRef>
              <c:f>'Intensified Cameras'!$F$57:$F$64</c:f>
              <c:numCache>
                <c:ptCount val="8"/>
                <c:pt idx="1">
                  <c:v>814.2857142857142</c:v>
                </c:pt>
              </c:numCache>
            </c:numRef>
          </c:yVal>
          <c:smooth val="0"/>
        </c:ser>
        <c:ser>
          <c:idx val="2"/>
          <c:order val="2"/>
          <c:tx>
            <c:strRef>
              <c:f>'Intensified Cameras'!$G$56</c:f>
              <c:strCache>
                <c:ptCount val="1"/>
                <c:pt idx="0">
                  <c:v>Canon XL2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FF00"/>
              </a:solidFill>
              <a:ln>
                <a:solidFill>
                  <a:srgbClr val="FFFF00"/>
                </a:solidFill>
              </a:ln>
            </c:spPr>
          </c:marker>
          <c:xVal>
            <c:numRef>
              <c:f>'Intensified Cameras'!$D$57:$D$64</c:f>
              <c:numCache>
                <c:ptCount val="8"/>
                <c:pt idx="0">
                  <c:v>1</c:v>
                </c:pt>
                <c:pt idx="1">
                  <c:v>2</c:v>
                </c:pt>
                <c:pt idx="2">
                  <c:v>3</c:v>
                </c:pt>
                <c:pt idx="3">
                  <c:v>4</c:v>
                </c:pt>
                <c:pt idx="4">
                  <c:v>5</c:v>
                </c:pt>
                <c:pt idx="5">
                  <c:v>6</c:v>
                </c:pt>
                <c:pt idx="6">
                  <c:v>7</c:v>
                </c:pt>
                <c:pt idx="7">
                  <c:v>8</c:v>
                </c:pt>
              </c:numCache>
            </c:numRef>
          </c:xVal>
          <c:yVal>
            <c:numRef>
              <c:f>'Intensified Cameras'!$G$57:$G$64</c:f>
              <c:numCache>
                <c:ptCount val="8"/>
                <c:pt idx="2">
                  <c:v>1028.5714285714284</c:v>
                </c:pt>
              </c:numCache>
            </c:numRef>
          </c:yVal>
          <c:smooth val="0"/>
        </c:ser>
        <c:ser>
          <c:idx val="3"/>
          <c:order val="3"/>
          <c:tx>
            <c:strRef>
              <c:f>'Intensified Cameras'!$H$56</c:f>
              <c:strCache>
                <c:ptCount val="1"/>
                <c:pt idx="0">
                  <c:v>Sony HVR-Z1U</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FFFF"/>
              </a:solidFill>
              <a:ln>
                <a:solidFill>
                  <a:srgbClr val="00FFFF"/>
                </a:solidFill>
              </a:ln>
            </c:spPr>
          </c:marker>
          <c:xVal>
            <c:numRef>
              <c:f>'Intensified Cameras'!$D$57:$D$64</c:f>
              <c:numCache>
                <c:ptCount val="8"/>
                <c:pt idx="0">
                  <c:v>1</c:v>
                </c:pt>
                <c:pt idx="1">
                  <c:v>2</c:v>
                </c:pt>
                <c:pt idx="2">
                  <c:v>3</c:v>
                </c:pt>
                <c:pt idx="3">
                  <c:v>4</c:v>
                </c:pt>
                <c:pt idx="4">
                  <c:v>5</c:v>
                </c:pt>
                <c:pt idx="5">
                  <c:v>6</c:v>
                </c:pt>
                <c:pt idx="6">
                  <c:v>7</c:v>
                </c:pt>
                <c:pt idx="7">
                  <c:v>8</c:v>
                </c:pt>
              </c:numCache>
            </c:numRef>
          </c:xVal>
          <c:yVal>
            <c:numRef>
              <c:f>'Intensified Cameras'!$H$57:$H$64</c:f>
              <c:numCache>
                <c:ptCount val="8"/>
                <c:pt idx="3">
                  <c:v>1083.423976912795</c:v>
                </c:pt>
              </c:numCache>
            </c:numRef>
          </c:yVal>
          <c:smooth val="0"/>
        </c:ser>
        <c:ser>
          <c:idx val="4"/>
          <c:order val="4"/>
          <c:tx>
            <c:strRef>
              <c:f>'Intensified Cameras'!$I$56</c:f>
              <c:strCache>
                <c:ptCount val="1"/>
                <c:pt idx="0">
                  <c:v>Panasonic AG-HVX200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800080"/>
              </a:solidFill>
              <a:ln>
                <a:solidFill>
                  <a:srgbClr val="800080"/>
                </a:solidFill>
              </a:ln>
            </c:spPr>
          </c:marker>
          <c:xVal>
            <c:numRef>
              <c:f>'Intensified Cameras'!$D$57:$D$64</c:f>
              <c:numCache>
                <c:ptCount val="8"/>
                <c:pt idx="0">
                  <c:v>1</c:v>
                </c:pt>
                <c:pt idx="1">
                  <c:v>2</c:v>
                </c:pt>
                <c:pt idx="2">
                  <c:v>3</c:v>
                </c:pt>
                <c:pt idx="3">
                  <c:v>4</c:v>
                </c:pt>
                <c:pt idx="4">
                  <c:v>5</c:v>
                </c:pt>
                <c:pt idx="5">
                  <c:v>6</c:v>
                </c:pt>
                <c:pt idx="6">
                  <c:v>7</c:v>
                </c:pt>
                <c:pt idx="7">
                  <c:v>8</c:v>
                </c:pt>
              </c:numCache>
            </c:numRef>
          </c:xVal>
          <c:yVal>
            <c:numRef>
              <c:f>'Intensified Cameras'!$I$57:$I$64</c:f>
              <c:numCache>
                <c:ptCount val="8"/>
                <c:pt idx="4">
                  <c:v>944.2450208665747</c:v>
                </c:pt>
              </c:numCache>
            </c:numRef>
          </c:yVal>
          <c:smooth val="0"/>
        </c:ser>
        <c:ser>
          <c:idx val="5"/>
          <c:order val="5"/>
          <c:tx>
            <c:strRef>
              <c:f>'Intensified Cameras'!$J$56</c:f>
              <c:strCache>
                <c:ptCount val="1"/>
                <c:pt idx="0">
                  <c:v>Canon XL-H1 (HD)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auto"/>
          </c:marker>
          <c:dPt>
            <c:idx val="5"/>
            <c:spPr>
              <a:ln w="3175">
                <a:noFill/>
              </a:ln>
            </c:spPr>
            <c:marker>
              <c:symbol val="circle"/>
              <c:size val="10"/>
              <c:spPr>
                <a:solidFill>
                  <a:srgbClr val="800000"/>
                </a:solidFill>
                <a:ln>
                  <a:solidFill>
                    <a:srgbClr val="800000"/>
                  </a:solidFill>
                </a:ln>
              </c:spPr>
            </c:marker>
          </c:dPt>
          <c:xVal>
            <c:numRef>
              <c:f>'Intensified Cameras'!$D$57:$D$64</c:f>
              <c:numCache>
                <c:ptCount val="8"/>
                <c:pt idx="0">
                  <c:v>1</c:v>
                </c:pt>
                <c:pt idx="1">
                  <c:v>2</c:v>
                </c:pt>
                <c:pt idx="2">
                  <c:v>3</c:v>
                </c:pt>
                <c:pt idx="3">
                  <c:v>4</c:v>
                </c:pt>
                <c:pt idx="4">
                  <c:v>5</c:v>
                </c:pt>
                <c:pt idx="5">
                  <c:v>6</c:v>
                </c:pt>
                <c:pt idx="6">
                  <c:v>7</c:v>
                </c:pt>
                <c:pt idx="7">
                  <c:v>8</c:v>
                </c:pt>
              </c:numCache>
            </c:numRef>
          </c:xVal>
          <c:yVal>
            <c:numRef>
              <c:f>'Intensified Cameras'!$J$57:$J$64</c:f>
              <c:numCache>
                <c:ptCount val="8"/>
                <c:pt idx="5">
                  <c:v>1416.367531299862</c:v>
                </c:pt>
              </c:numCache>
            </c:numRef>
          </c:yVal>
          <c:smooth val="0"/>
        </c:ser>
        <c:ser>
          <c:idx val="6"/>
          <c:order val="6"/>
          <c:tx>
            <c:strRef>
              <c:f>'Intensified Cameras'!$K$56</c:f>
              <c:strCache>
                <c:ptCount val="1"/>
                <c:pt idx="0">
                  <c:v>Canon 30D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8080"/>
              </a:solidFill>
              <a:ln>
                <a:solidFill>
                  <a:srgbClr val="008080"/>
                </a:solidFill>
              </a:ln>
            </c:spPr>
          </c:marker>
          <c:xVal>
            <c:numRef>
              <c:f>'Intensified Cameras'!$D$57:$D$64</c:f>
              <c:numCache>
                <c:ptCount val="8"/>
                <c:pt idx="0">
                  <c:v>1</c:v>
                </c:pt>
                <c:pt idx="1">
                  <c:v>2</c:v>
                </c:pt>
                <c:pt idx="2">
                  <c:v>3</c:v>
                </c:pt>
                <c:pt idx="3">
                  <c:v>4</c:v>
                </c:pt>
                <c:pt idx="4">
                  <c:v>5</c:v>
                </c:pt>
                <c:pt idx="5">
                  <c:v>6</c:v>
                </c:pt>
                <c:pt idx="6">
                  <c:v>7</c:v>
                </c:pt>
                <c:pt idx="7">
                  <c:v>8</c:v>
                </c:pt>
              </c:numCache>
            </c:numRef>
          </c:xVal>
          <c:yVal>
            <c:numRef>
              <c:f>'Intensified Cameras'!$K$57:$K$64</c:f>
              <c:numCache>
                <c:ptCount val="8"/>
                <c:pt idx="6">
                  <c:v>1920.0000000000002</c:v>
                </c:pt>
              </c:numCache>
            </c:numRef>
          </c:yVal>
          <c:smooth val="0"/>
        </c:ser>
        <c:ser>
          <c:idx val="7"/>
          <c:order val="7"/>
          <c:tx>
            <c:strRef>
              <c:f>'Intensified Cameras'!$L$56</c:f>
              <c:strCache>
                <c:ptCount val="1"/>
                <c:pt idx="0">
                  <c:v>Nikon D200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FF"/>
              </a:solidFill>
              <a:ln>
                <a:solidFill>
                  <a:srgbClr val="0000FF"/>
                </a:solidFill>
              </a:ln>
            </c:spPr>
          </c:marker>
          <c:xVal>
            <c:numRef>
              <c:f>'Intensified Cameras'!$D$57:$D$64</c:f>
              <c:numCache>
                <c:ptCount val="8"/>
                <c:pt idx="0">
                  <c:v>1</c:v>
                </c:pt>
                <c:pt idx="1">
                  <c:v>2</c:v>
                </c:pt>
                <c:pt idx="2">
                  <c:v>3</c:v>
                </c:pt>
                <c:pt idx="3">
                  <c:v>4</c:v>
                </c:pt>
                <c:pt idx="4">
                  <c:v>5</c:v>
                </c:pt>
                <c:pt idx="5">
                  <c:v>6</c:v>
                </c:pt>
                <c:pt idx="6">
                  <c:v>7</c:v>
                </c:pt>
                <c:pt idx="7">
                  <c:v>8</c:v>
                </c:pt>
              </c:numCache>
            </c:numRef>
          </c:xVal>
          <c:yVal>
            <c:numRef>
              <c:f>'Intensified Cameras'!$L$57:$L$64</c:f>
              <c:numCache>
                <c:ptCount val="8"/>
                <c:pt idx="7">
                  <c:v>1920</c:v>
                </c:pt>
              </c:numCache>
            </c:numRef>
          </c:yVal>
          <c:smooth val="0"/>
        </c:ser>
        <c:axId val="19816041"/>
        <c:axId val="56281942"/>
      </c:scatterChart>
      <c:valAx>
        <c:axId val="19816041"/>
        <c:scaling>
          <c:orientation val="minMax"/>
        </c:scaling>
        <c:axPos val="b"/>
        <c:delete val="0"/>
        <c:numFmt formatCode="General" sourceLinked="1"/>
        <c:majorTickMark val="out"/>
        <c:minorTickMark val="none"/>
        <c:tickLblPos val="nextTo"/>
        <c:crossAx val="56281942"/>
        <c:crosses val="autoZero"/>
        <c:crossBetween val="midCat"/>
        <c:dispUnits/>
      </c:valAx>
      <c:valAx>
        <c:axId val="56281942"/>
        <c:scaling>
          <c:orientation val="minMax"/>
        </c:scaling>
        <c:axPos val="l"/>
        <c:title>
          <c:tx>
            <c:rich>
              <a:bodyPr vert="horz" rot="-5400000" anchor="ctr"/>
              <a:lstStyle/>
              <a:p>
                <a:pPr algn="ctr">
                  <a:defRPr/>
                </a:pPr>
                <a:r>
                  <a:rPr lang="en-US" cap="none" sz="1075" b="1" i="0" u="none" baseline="0">
                    <a:latin typeface="Arial"/>
                    <a:ea typeface="Arial"/>
                    <a:cs typeface="Arial"/>
                  </a:rPr>
                  <a:t>Range (meters)</a:t>
                </a:r>
              </a:p>
            </c:rich>
          </c:tx>
          <c:layout/>
          <c:overlay val="0"/>
          <c:spPr>
            <a:noFill/>
            <a:ln>
              <a:noFill/>
            </a:ln>
          </c:spPr>
        </c:title>
        <c:majorGridlines/>
        <c:delete val="0"/>
        <c:numFmt formatCode="General" sourceLinked="1"/>
        <c:majorTickMark val="out"/>
        <c:minorTickMark val="none"/>
        <c:tickLblPos val="nextTo"/>
        <c:crossAx val="19816041"/>
        <c:crosses val="autoZero"/>
        <c:crossBetween val="midCat"/>
        <c:dispUnits/>
      </c:valAx>
      <c:spPr>
        <a:solidFill>
          <a:srgbClr val="C0C0C0"/>
        </a:solidFill>
        <a:ln w="12700">
          <a:solidFill>
            <a:srgbClr val="808080"/>
          </a:solidFill>
        </a:ln>
      </c:spPr>
    </c:plotArea>
    <c:legend>
      <c:legendPos val="r"/>
      <c:layout>
        <c:manualLayout>
          <c:xMode val="edge"/>
          <c:yMode val="edge"/>
          <c:x val="0.809"/>
          <c:y val="0.42775"/>
        </c:manualLayout>
      </c:layout>
      <c:overlay val="0"/>
    </c:legend>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hownightvisionworks.com/" TargetMode="External" /><Relationship Id="rId3" Type="http://schemas.openxmlformats.org/officeDocument/2006/relationships/hyperlink" Target="http://www.hownightvisionworks.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militaryandlaw.com.au/page/9350_digital__35mm_still_cameras.html" TargetMode="External" /><Relationship Id="rId3" Type="http://schemas.openxmlformats.org/officeDocument/2006/relationships/hyperlink" Target="http://www.militaryandlaw.com.au/page/9350_digital__35mm_still_cameras.html" TargetMode="External" /><Relationship Id="rId4" Type="http://schemas.openxmlformats.org/officeDocument/2006/relationships/image" Target="../media/image1.jpeg" /><Relationship Id="rId5" Type="http://schemas.openxmlformats.org/officeDocument/2006/relationships/hyperlink" Target="http://www.electrophysics.com/" TargetMode="External" /><Relationship Id="rId6" Type="http://schemas.openxmlformats.org/officeDocument/2006/relationships/hyperlink" Target="http://www.electrophysics.com/"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militaryandlaw.com.au/page/9350_digital__35mm_still_cameras.html" TargetMode="External" /><Relationship Id="rId3" Type="http://schemas.openxmlformats.org/officeDocument/2006/relationships/hyperlink" Target="http://www.militaryandlaw.com.au/page/9350_digital__35mm_still_cameras.html" TargetMode="External" /><Relationship Id="rId4" Type="http://schemas.openxmlformats.org/officeDocument/2006/relationships/image" Target="../media/image1.jpeg" /><Relationship Id="rId5" Type="http://schemas.openxmlformats.org/officeDocument/2006/relationships/hyperlink" Target="http://www.electrophysics.com/" TargetMode="External" /><Relationship Id="rId6" Type="http://schemas.openxmlformats.org/officeDocument/2006/relationships/hyperlink" Target="http://www.electrophysics.com/"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electrophysics.com/" TargetMode="External" /><Relationship Id="rId3" Type="http://schemas.openxmlformats.org/officeDocument/2006/relationships/hyperlink" Target="http://www.electrophysics.com/" TargetMode="External" /><Relationship Id="rId4" Type="http://schemas.openxmlformats.org/officeDocument/2006/relationships/image" Target="../media/image2.png" /><Relationship Id="rId5" Type="http://schemas.openxmlformats.org/officeDocument/2006/relationships/hyperlink" Target="http://www.militaryandlaw.com.au/page/9350_digital__35mm_still_cameras.html" TargetMode="External" /><Relationship Id="rId6" Type="http://schemas.openxmlformats.org/officeDocument/2006/relationships/hyperlink" Target="http://www.militaryandlaw.com.au/page/9350_digital__35mm_still_cameras.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8</xdr:col>
      <xdr:colOff>581025</xdr:colOff>
      <xdr:row>39</xdr:row>
      <xdr:rowOff>152400</xdr:rowOff>
    </xdr:to>
    <xdr:sp>
      <xdr:nvSpPr>
        <xdr:cNvPr id="1" name="TextBox 1"/>
        <xdr:cNvSpPr txBox="1">
          <a:spLocks noChangeArrowheads="1"/>
        </xdr:cNvSpPr>
      </xdr:nvSpPr>
      <xdr:spPr>
        <a:xfrm>
          <a:off x="38100" y="38100"/>
          <a:ext cx="5419725" cy="6429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a:t>
          </a:r>
          <a:r>
            <a:rPr lang="en-US" cap="none" sz="1200" b="1" i="0" u="none" baseline="0">
              <a:latin typeface="Arial"/>
              <a:ea typeface="Arial"/>
              <a:cs typeface="Arial"/>
            </a:rPr>
            <a:t>Night Vision Range Calculator Information</a:t>
          </a:r>
          <a:r>
            <a:rPr lang="en-US" cap="none" sz="1000" b="0" i="0" u="none" baseline="0">
              <a:latin typeface="Arial"/>
              <a:ea typeface="Arial"/>
              <a:cs typeface="Arial"/>
            </a:rPr>
            <a:t>
This Night Vision Range Calculator consists of a series of spreadsheets that enable one to easily estimate the maximum range that an object can be detected when using various camera platforms (intensified and non-intensified). It is important to note that these estimates are based solely on the object size, distance, camera objective lens and camera detector parameters as well as image intensifier specifications. Light level, atmospheric conditions, reflectivity and other factors are not considered. In this regard, the object size and focal length of the objective lens (for removable lens systems) are variables to be entered by the user. The spreadsheet also provides information as to the angular and spatial field-of-view of different camera systems at a specified range.
The calculations used here are based on the "Johnson Criteria" which were developed many years ago by John Johnson, a scientist at the US Army Night Vision Lab (Night Vision &amp; Electronic Sensors Directorate). Johnson was working to develop methods of predicting target detection, recognition, and identification. He was working with volunteer observers using image intensifier equipment and quantified the volunteer observer's ability to identify scale model targets under various conditions. His experiments produced the first empirical data on perceptual thresholds. The so-called Johnson Criteria have been the basis for many models that predict the performance of sensor systems under different environmental and operational conditions. According to the Johnson Criteria, the minimum resolution (pixels on target) required to achieve a 50% probability that an observer can discriminate an object at a certain range to the specified level are:
</a:t>
          </a:r>
          <a:r>
            <a:rPr lang="en-US" cap="none" sz="1000" b="1" i="0" u="none" baseline="0">
              <a:latin typeface="Arial"/>
              <a:ea typeface="Arial"/>
              <a:cs typeface="Arial"/>
            </a:rPr>
            <a:t>Detection -</a:t>
          </a:r>
          <a:r>
            <a:rPr lang="en-US" cap="none" sz="1000" b="0" i="0" u="none" baseline="0">
              <a:latin typeface="Arial"/>
              <a:ea typeface="Arial"/>
              <a:cs typeface="Arial"/>
            </a:rPr>
            <a:t> an object is present: 2 +1/-0.5 pixels 
</a:t>
          </a:r>
          <a:r>
            <a:rPr lang="en-US" cap="none" sz="1000" b="1" i="0" u="none" baseline="0">
              <a:latin typeface="Arial"/>
              <a:ea typeface="Arial"/>
              <a:cs typeface="Arial"/>
            </a:rPr>
            <a:t>Recognition -</a:t>
          </a:r>
          <a:r>
            <a:rPr lang="en-US" cap="none" sz="1000" b="0" i="0" u="none" baseline="0">
              <a:latin typeface="Arial"/>
              <a:ea typeface="Arial"/>
              <a:cs typeface="Arial"/>
            </a:rPr>
            <a:t> discern the type of object, a person vs. a car: 8 +1.6/-0.4 pixels 
</a:t>
          </a:r>
          <a:r>
            <a:rPr lang="en-US" cap="none" sz="1000" b="1" i="0" u="none" baseline="0">
              <a:latin typeface="Arial"/>
              <a:ea typeface="Arial"/>
              <a:cs typeface="Arial"/>
            </a:rPr>
            <a:t>Identification -</a:t>
          </a:r>
          <a:r>
            <a:rPr lang="en-US" cap="none" sz="1000" b="0" i="0" u="none" baseline="0">
              <a:latin typeface="Arial"/>
              <a:ea typeface="Arial"/>
              <a:cs typeface="Arial"/>
            </a:rPr>
            <a:t> discern specific objects, a woman vs. a man, a car model: 12.8 +3.2/-2.8 pixels 
References:
John Johnson, “Analysis of image forming systems,” in Image Intensifier Symposium, AD 220160 (Warfare Electrical Engineering Department, U.S. Army Research and Development Laboratories, Ft. Belvoir, Va., 1958), pp. 244–273. 
We hope this information is helpful! Please email comments to: </a:t>
          </a:r>
          <a:r>
            <a:rPr lang="en-US" cap="none" sz="1000" b="0" i="0" u="sng" baseline="0">
              <a:solidFill>
                <a:srgbClr val="0000FF"/>
              </a:solidFill>
              <a:latin typeface="Arial"/>
              <a:ea typeface="Arial"/>
              <a:cs typeface="Arial"/>
            </a:rPr>
            <a:t>nightvision@electrophysics.com</a:t>
          </a:r>
          <a:r>
            <a:rPr lang="en-US" cap="none" sz="1000" b="0" i="0" u="none" baseline="0">
              <a:latin typeface="Arial"/>
              <a:ea typeface="Arial"/>
              <a:cs typeface="Arial"/>
            </a:rPr>
            <a:t>. 
</a:t>
          </a:r>
        </a:p>
      </xdr:txBody>
    </xdr:sp>
    <xdr:clientData/>
  </xdr:twoCellAnchor>
  <xdr:twoCellAnchor editAs="oneCell">
    <xdr:from>
      <xdr:col>2</xdr:col>
      <xdr:colOff>66675</xdr:colOff>
      <xdr:row>34</xdr:row>
      <xdr:rowOff>85725</xdr:rowOff>
    </xdr:from>
    <xdr:to>
      <xdr:col>7</xdr:col>
      <xdr:colOff>114300</xdr:colOff>
      <xdr:row>38</xdr:row>
      <xdr:rowOff>152400</xdr:rowOff>
    </xdr:to>
    <xdr:pic>
      <xdr:nvPicPr>
        <xdr:cNvPr id="2" name="Picture 2">
          <a:hlinkClick r:id="rId3"/>
        </xdr:cNvPr>
        <xdr:cNvPicPr preferRelativeResize="1">
          <a:picLocks noChangeAspect="1"/>
        </xdr:cNvPicPr>
      </xdr:nvPicPr>
      <xdr:blipFill>
        <a:blip r:embed="rId1"/>
        <a:stretch>
          <a:fillRect/>
        </a:stretch>
      </xdr:blipFill>
      <xdr:spPr>
        <a:xfrm>
          <a:off x="1285875" y="5591175"/>
          <a:ext cx="30956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41</xdr:row>
      <xdr:rowOff>152400</xdr:rowOff>
    </xdr:from>
    <xdr:to>
      <xdr:col>11</xdr:col>
      <xdr:colOff>9525</xdr:colOff>
      <xdr:row>44</xdr:row>
      <xdr:rowOff>57150</xdr:rowOff>
    </xdr:to>
    <xdr:sp>
      <xdr:nvSpPr>
        <xdr:cNvPr id="1" name="TextBox 1"/>
        <xdr:cNvSpPr txBox="1">
          <a:spLocks noChangeArrowheads="1"/>
        </xdr:cNvSpPr>
      </xdr:nvSpPr>
      <xdr:spPr>
        <a:xfrm>
          <a:off x="295275" y="7477125"/>
          <a:ext cx="84010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Disclaimer:</a:t>
          </a:r>
          <a:r>
            <a:rPr lang="en-US" cap="none" sz="1000" b="0" i="0" u="none" baseline="0">
              <a:latin typeface="Arial"/>
              <a:ea typeface="Arial"/>
              <a:cs typeface="Arial"/>
            </a:rPr>
            <a:t>  We have made every attempt to provide accurate data for the chart above. However, we cannot accept any responsibility for errors or inaccuracies. Should you identify an error, please be so kind as to let us know as soon as possible. Thank you.</a:t>
          </a:r>
        </a:p>
      </xdr:txBody>
    </xdr:sp>
    <xdr:clientData/>
  </xdr:twoCellAnchor>
  <xdr:twoCellAnchor editAs="oneCell">
    <xdr:from>
      <xdr:col>1</xdr:col>
      <xdr:colOff>9525</xdr:colOff>
      <xdr:row>0</xdr:row>
      <xdr:rowOff>85725</xdr:rowOff>
    </xdr:from>
    <xdr:to>
      <xdr:col>3</xdr:col>
      <xdr:colOff>561975</xdr:colOff>
      <xdr:row>4</xdr:row>
      <xdr:rowOff>57150</xdr:rowOff>
    </xdr:to>
    <xdr:pic>
      <xdr:nvPicPr>
        <xdr:cNvPr id="2" name="Picture 6">
          <a:hlinkClick r:id="rId3"/>
        </xdr:cNvPr>
        <xdr:cNvPicPr preferRelativeResize="1">
          <a:picLocks noChangeAspect="1"/>
        </xdr:cNvPicPr>
      </xdr:nvPicPr>
      <xdr:blipFill>
        <a:blip r:embed="rId1"/>
        <a:stretch>
          <a:fillRect/>
        </a:stretch>
      </xdr:blipFill>
      <xdr:spPr>
        <a:xfrm>
          <a:off x="295275" y="85725"/>
          <a:ext cx="3200400" cy="619125"/>
        </a:xfrm>
        <a:prstGeom prst="rect">
          <a:avLst/>
        </a:prstGeom>
        <a:noFill/>
        <a:ln w="9525" cmpd="sng">
          <a:noFill/>
        </a:ln>
      </xdr:spPr>
    </xdr:pic>
    <xdr:clientData/>
  </xdr:twoCellAnchor>
  <xdr:twoCellAnchor editAs="oneCell">
    <xdr:from>
      <xdr:col>6</xdr:col>
      <xdr:colOff>409575</xdr:colOff>
      <xdr:row>0</xdr:row>
      <xdr:rowOff>104775</xdr:rowOff>
    </xdr:from>
    <xdr:to>
      <xdr:col>10</xdr:col>
      <xdr:colOff>704850</xdr:colOff>
      <xdr:row>5</xdr:row>
      <xdr:rowOff>28575</xdr:rowOff>
    </xdr:to>
    <xdr:pic>
      <xdr:nvPicPr>
        <xdr:cNvPr id="3" name="Picture 7">
          <a:hlinkClick r:id="rId6"/>
        </xdr:cNvPr>
        <xdr:cNvPicPr preferRelativeResize="1">
          <a:picLocks noChangeAspect="1"/>
        </xdr:cNvPicPr>
      </xdr:nvPicPr>
      <xdr:blipFill>
        <a:blip r:embed="rId4"/>
        <a:stretch>
          <a:fillRect/>
        </a:stretch>
      </xdr:blipFill>
      <xdr:spPr>
        <a:xfrm>
          <a:off x="5476875" y="104775"/>
          <a:ext cx="32004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41</xdr:row>
      <xdr:rowOff>152400</xdr:rowOff>
    </xdr:from>
    <xdr:to>
      <xdr:col>11</xdr:col>
      <xdr:colOff>0</xdr:colOff>
      <xdr:row>44</xdr:row>
      <xdr:rowOff>57150</xdr:rowOff>
    </xdr:to>
    <xdr:sp>
      <xdr:nvSpPr>
        <xdr:cNvPr id="1" name="TextBox 1"/>
        <xdr:cNvSpPr txBox="1">
          <a:spLocks noChangeArrowheads="1"/>
        </xdr:cNvSpPr>
      </xdr:nvSpPr>
      <xdr:spPr>
        <a:xfrm>
          <a:off x="295275" y="7477125"/>
          <a:ext cx="84010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Disclaimer:</a:t>
          </a:r>
          <a:r>
            <a:rPr lang="en-US" cap="none" sz="1000" b="0" i="0" u="none" baseline="0">
              <a:latin typeface="Arial"/>
              <a:ea typeface="Arial"/>
              <a:cs typeface="Arial"/>
            </a:rPr>
            <a:t>  We have made every attempt to provide accurate data for the chart above. However, we cannot accept any responsibility for errors or inaccuracies. Should you identify an error, please be so kind as to let us know as soon as possible. Thank you.</a:t>
          </a:r>
        </a:p>
      </xdr:txBody>
    </xdr:sp>
    <xdr:clientData/>
  </xdr:twoCellAnchor>
  <xdr:twoCellAnchor editAs="oneCell">
    <xdr:from>
      <xdr:col>1</xdr:col>
      <xdr:colOff>9525</xdr:colOff>
      <xdr:row>0</xdr:row>
      <xdr:rowOff>85725</xdr:rowOff>
    </xdr:from>
    <xdr:to>
      <xdr:col>3</xdr:col>
      <xdr:colOff>561975</xdr:colOff>
      <xdr:row>4</xdr:row>
      <xdr:rowOff>57150</xdr:rowOff>
    </xdr:to>
    <xdr:pic>
      <xdr:nvPicPr>
        <xdr:cNvPr id="2" name="Picture 10">
          <a:hlinkClick r:id="rId3"/>
        </xdr:cNvPr>
        <xdr:cNvPicPr preferRelativeResize="1">
          <a:picLocks noChangeAspect="1"/>
        </xdr:cNvPicPr>
      </xdr:nvPicPr>
      <xdr:blipFill>
        <a:blip r:embed="rId1"/>
        <a:stretch>
          <a:fillRect/>
        </a:stretch>
      </xdr:blipFill>
      <xdr:spPr>
        <a:xfrm>
          <a:off x="295275" y="85725"/>
          <a:ext cx="3200400" cy="619125"/>
        </a:xfrm>
        <a:prstGeom prst="rect">
          <a:avLst/>
        </a:prstGeom>
        <a:noFill/>
        <a:ln w="9525" cmpd="sng">
          <a:noFill/>
        </a:ln>
      </xdr:spPr>
    </xdr:pic>
    <xdr:clientData/>
  </xdr:twoCellAnchor>
  <xdr:twoCellAnchor editAs="oneCell">
    <xdr:from>
      <xdr:col>6</xdr:col>
      <xdr:colOff>409575</xdr:colOff>
      <xdr:row>0</xdr:row>
      <xdr:rowOff>104775</xdr:rowOff>
    </xdr:from>
    <xdr:to>
      <xdr:col>10</xdr:col>
      <xdr:colOff>695325</xdr:colOff>
      <xdr:row>5</xdr:row>
      <xdr:rowOff>28575</xdr:rowOff>
    </xdr:to>
    <xdr:pic>
      <xdr:nvPicPr>
        <xdr:cNvPr id="3" name="Picture 11">
          <a:hlinkClick r:id="rId6"/>
        </xdr:cNvPr>
        <xdr:cNvPicPr preferRelativeResize="1">
          <a:picLocks noChangeAspect="1"/>
        </xdr:cNvPicPr>
      </xdr:nvPicPr>
      <xdr:blipFill>
        <a:blip r:embed="rId4"/>
        <a:stretch>
          <a:fillRect/>
        </a:stretch>
      </xdr:blipFill>
      <xdr:spPr>
        <a:xfrm>
          <a:off x="5476875" y="104775"/>
          <a:ext cx="320040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114300</xdr:colOff>
      <xdr:row>1</xdr:row>
      <xdr:rowOff>19050</xdr:rowOff>
    </xdr:from>
    <xdr:to>
      <xdr:col>6</xdr:col>
      <xdr:colOff>685800</xdr:colOff>
      <xdr:row>5</xdr:row>
      <xdr:rowOff>0</xdr:rowOff>
    </xdr:to>
    <xdr:pic>
      <xdr:nvPicPr>
        <xdr:cNvPr id="1" name="Picture 1">
          <a:hlinkClick r:id="rId3"/>
        </xdr:cNvPr>
        <xdr:cNvPicPr preferRelativeResize="1">
          <a:picLocks noChangeAspect="1"/>
        </xdr:cNvPicPr>
      </xdr:nvPicPr>
      <xdr:blipFill>
        <a:blip r:embed="rId1"/>
        <a:stretch>
          <a:fillRect/>
        </a:stretch>
      </xdr:blipFill>
      <xdr:spPr>
        <a:xfrm>
          <a:off x="3048000" y="180975"/>
          <a:ext cx="2743200" cy="628650"/>
        </a:xfrm>
        <a:prstGeom prst="rect">
          <a:avLst/>
        </a:prstGeom>
        <a:noFill/>
        <a:ln w="9525" cmpd="sng">
          <a:noFill/>
        </a:ln>
      </xdr:spPr>
    </xdr:pic>
    <xdr:clientData/>
  </xdr:twoCellAnchor>
  <xdr:twoCellAnchor editAs="oneCell">
    <xdr:from>
      <xdr:col>1</xdr:col>
      <xdr:colOff>9525</xdr:colOff>
      <xdr:row>1</xdr:row>
      <xdr:rowOff>9525</xdr:rowOff>
    </xdr:from>
    <xdr:to>
      <xdr:col>3</xdr:col>
      <xdr:colOff>104775</xdr:colOff>
      <xdr:row>4</xdr:row>
      <xdr:rowOff>57150</xdr:rowOff>
    </xdr:to>
    <xdr:pic>
      <xdr:nvPicPr>
        <xdr:cNvPr id="2" name="Picture 2">
          <a:hlinkClick r:id="rId6"/>
        </xdr:cNvPr>
        <xdr:cNvPicPr preferRelativeResize="1">
          <a:picLocks noChangeAspect="1"/>
        </xdr:cNvPicPr>
      </xdr:nvPicPr>
      <xdr:blipFill>
        <a:blip r:embed="rId4"/>
        <a:stretch>
          <a:fillRect/>
        </a:stretch>
      </xdr:blipFill>
      <xdr:spPr>
        <a:xfrm>
          <a:off x="295275" y="171450"/>
          <a:ext cx="27432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42" sqref="A42"/>
    </sheetView>
  </sheetViews>
  <sheetFormatPr defaultColWidth="9.140625" defaultRowHeight="12.75"/>
  <sheetData/>
  <sheetProtection password="D9D9" sheet="1" objects="1" scenarios="1" selectLockedCells="1"/>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U77"/>
  <sheetViews>
    <sheetView zoomScale="90" zoomScaleNormal="90" workbookViewId="0" topLeftCell="A7">
      <selection activeCell="D8" sqref="D8"/>
    </sheetView>
  </sheetViews>
  <sheetFormatPr defaultColWidth="9.140625" defaultRowHeight="12.75"/>
  <cols>
    <col min="1" max="1" width="4.28125" style="1" customWidth="1"/>
    <col min="2" max="2" width="25.421875" style="1" customWidth="1"/>
    <col min="3" max="3" width="14.28125" style="1" customWidth="1"/>
    <col min="4" max="4" width="10.57421875" style="1" customWidth="1"/>
    <col min="5" max="7" width="10.7109375" style="1" customWidth="1"/>
    <col min="8" max="8" width="11.421875" style="1" customWidth="1"/>
    <col min="9" max="11" width="10.7109375" style="1" customWidth="1"/>
    <col min="12" max="16384" width="9.140625" style="1" customWidth="1"/>
  </cols>
  <sheetData>
    <row r="1" ht="12.75"/>
    <row r="2" ht="12.75"/>
    <row r="3" ht="12.75"/>
    <row r="4" ht="12.75"/>
    <row r="5" ht="12.75"/>
    <row r="6" ht="12.75">
      <c r="B6" s="2" t="s">
        <v>63</v>
      </c>
    </row>
    <row r="7" spans="1:5" ht="13.5" thickBot="1">
      <c r="A7" s="2"/>
      <c r="E7" s="3"/>
    </row>
    <row r="8" spans="1:11" ht="13.5" thickBot="1">
      <c r="A8" s="2"/>
      <c r="B8" s="97"/>
      <c r="C8" s="98" t="s">
        <v>10</v>
      </c>
      <c r="D8" s="107">
        <v>75</v>
      </c>
      <c r="E8" s="104" t="s">
        <v>1</v>
      </c>
      <c r="F8" s="4"/>
      <c r="G8" s="5"/>
      <c r="H8" s="4"/>
      <c r="I8" s="4"/>
      <c r="J8" s="4"/>
      <c r="K8" s="4"/>
    </row>
    <row r="9" spans="1:11" ht="13.5" thickBot="1">
      <c r="A9" s="2"/>
      <c r="B9" s="99"/>
      <c r="C9" s="100" t="s">
        <v>20</v>
      </c>
      <c r="D9" s="103">
        <v>1000</v>
      </c>
      <c r="E9" s="105" t="s">
        <v>27</v>
      </c>
      <c r="F9" s="4"/>
      <c r="G9" s="6"/>
      <c r="H9" s="4"/>
      <c r="I9" s="4"/>
      <c r="J9" s="4"/>
      <c r="K9" s="4"/>
    </row>
    <row r="10" spans="1:11" ht="13.5" thickBot="1">
      <c r="A10" s="2"/>
      <c r="B10" s="101"/>
      <c r="C10" s="102" t="s">
        <v>19</v>
      </c>
      <c r="D10" s="108">
        <v>0.4</v>
      </c>
      <c r="E10" s="106" t="s">
        <v>27</v>
      </c>
      <c r="F10" s="4"/>
      <c r="G10" s="4"/>
      <c r="H10" s="4"/>
      <c r="I10" s="4"/>
      <c r="J10" s="4"/>
      <c r="K10" s="4"/>
    </row>
    <row r="11" spans="1:11" ht="12.75">
      <c r="A11" s="2"/>
      <c r="B11" s="4"/>
      <c r="C11" s="7"/>
      <c r="D11" s="4"/>
      <c r="E11" s="4"/>
      <c r="F11" s="4"/>
      <c r="G11" s="4"/>
      <c r="H11" s="4"/>
      <c r="I11" s="4"/>
      <c r="J11" s="4"/>
      <c r="K11" s="4"/>
    </row>
    <row r="12" spans="1:11" ht="12.75">
      <c r="A12" s="2"/>
      <c r="B12" s="8"/>
      <c r="C12" s="8"/>
      <c r="D12" s="110" t="s">
        <v>68</v>
      </c>
      <c r="E12" s="111"/>
      <c r="F12" s="111"/>
      <c r="G12" s="111"/>
      <c r="H12" s="111"/>
      <c r="I12" s="111"/>
      <c r="J12" s="111"/>
      <c r="K12" s="112"/>
    </row>
    <row r="13" spans="1:11" ht="12.75">
      <c r="A13" s="2"/>
      <c r="B13" s="8"/>
      <c r="C13" s="8"/>
      <c r="D13" s="110" t="s">
        <v>47</v>
      </c>
      <c r="E13" s="111"/>
      <c r="F13" s="111"/>
      <c r="G13" s="115" t="s">
        <v>48</v>
      </c>
      <c r="H13" s="116"/>
      <c r="I13" s="116"/>
      <c r="J13" s="110" t="s">
        <v>49</v>
      </c>
      <c r="K13" s="117"/>
    </row>
    <row r="14" spans="1:11" ht="25.5">
      <c r="A14" s="2"/>
      <c r="B14" s="9"/>
      <c r="C14" s="8" t="s">
        <v>31</v>
      </c>
      <c r="D14" s="10" t="s">
        <v>44</v>
      </c>
      <c r="E14" s="10" t="s">
        <v>64</v>
      </c>
      <c r="F14" s="10" t="s">
        <v>65</v>
      </c>
      <c r="G14" s="10" t="s">
        <v>71</v>
      </c>
      <c r="H14" s="10" t="s">
        <v>41</v>
      </c>
      <c r="I14" s="10" t="s">
        <v>66</v>
      </c>
      <c r="J14" s="10" t="s">
        <v>67</v>
      </c>
      <c r="K14" s="10" t="s">
        <v>37</v>
      </c>
    </row>
    <row r="15" spans="1:11" ht="12.75">
      <c r="A15" s="2"/>
      <c r="B15" s="11"/>
      <c r="C15" s="12" t="s">
        <v>32</v>
      </c>
      <c r="D15" s="13" t="s">
        <v>53</v>
      </c>
      <c r="E15" s="13" t="s">
        <v>54</v>
      </c>
      <c r="F15" s="13" t="s">
        <v>53</v>
      </c>
      <c r="G15" s="13" t="s">
        <v>55</v>
      </c>
      <c r="H15" s="13" t="s">
        <v>56</v>
      </c>
      <c r="I15" s="13" t="s">
        <v>57</v>
      </c>
      <c r="J15" s="13" t="s">
        <v>58</v>
      </c>
      <c r="K15" s="14" t="s">
        <v>59</v>
      </c>
    </row>
    <row r="16" spans="1:11" ht="12.75">
      <c r="A16" s="2"/>
      <c r="B16" s="15" t="s">
        <v>42</v>
      </c>
      <c r="C16" s="16" t="s">
        <v>1</v>
      </c>
      <c r="D16" s="17">
        <f aca="true" t="shared" si="0" ref="D16:I16">$D8</f>
        <v>75</v>
      </c>
      <c r="E16" s="17">
        <f t="shared" si="0"/>
        <v>75</v>
      </c>
      <c r="F16" s="17">
        <f t="shared" si="0"/>
        <v>75</v>
      </c>
      <c r="G16" s="17">
        <f t="shared" si="0"/>
        <v>75</v>
      </c>
      <c r="H16" s="17">
        <f t="shared" si="0"/>
        <v>75</v>
      </c>
      <c r="I16" s="17">
        <f t="shared" si="0"/>
        <v>75</v>
      </c>
      <c r="J16" s="18">
        <f>D8</f>
        <v>75</v>
      </c>
      <c r="K16" s="19">
        <f>D8</f>
        <v>75</v>
      </c>
    </row>
    <row r="17" spans="1:11" ht="12.75">
      <c r="A17" s="2"/>
      <c r="B17" s="113" t="s">
        <v>35</v>
      </c>
      <c r="C17" s="20" t="s">
        <v>33</v>
      </c>
      <c r="D17" s="21">
        <f aca="true" t="shared" si="1" ref="D17:F18">D19*1000/D21</f>
        <v>20.895522388059703</v>
      </c>
      <c r="E17" s="21">
        <f t="shared" si="1"/>
        <v>18.42105263157895</v>
      </c>
      <c r="F17" s="21">
        <f t="shared" si="1"/>
        <v>14.583333333333336</v>
      </c>
      <c r="G17" s="21">
        <v>5.45</v>
      </c>
      <c r="H17" s="21">
        <f aca="true" t="shared" si="2" ref="H17:J18">H19*1000/H21</f>
        <v>15.885707277793056</v>
      </c>
      <c r="I17" s="21">
        <f t="shared" si="2"/>
        <v>10.590471518528705</v>
      </c>
      <c r="J17" s="22">
        <f t="shared" si="2"/>
        <v>7.812499999999999</v>
      </c>
      <c r="K17" s="22">
        <f>K19*1000/K21</f>
        <v>7.8125</v>
      </c>
    </row>
    <row r="18" spans="1:11" ht="12.75">
      <c r="A18" s="2"/>
      <c r="B18" s="114"/>
      <c r="C18" s="23" t="s">
        <v>34</v>
      </c>
      <c r="D18" s="24">
        <f t="shared" si="1"/>
        <v>20.999999999999996</v>
      </c>
      <c r="E18" s="24">
        <f t="shared" si="1"/>
        <v>21</v>
      </c>
      <c r="F18" s="24">
        <f t="shared" si="1"/>
        <v>21.874999999999996</v>
      </c>
      <c r="G18" s="24">
        <v>2.72</v>
      </c>
      <c r="H18" s="24">
        <f t="shared" si="2"/>
        <v>15.895642054076854</v>
      </c>
      <c r="I18" s="24">
        <f t="shared" si="2"/>
        <v>7.947821027038427</v>
      </c>
      <c r="J18" s="25">
        <f t="shared" si="2"/>
        <v>7.812500000000001</v>
      </c>
      <c r="K18" s="25">
        <f>K20*1000/K22</f>
        <v>7.812500000000001</v>
      </c>
    </row>
    <row r="19" spans="1:21" ht="12.75">
      <c r="A19" s="2"/>
      <c r="B19" s="26" t="s">
        <v>0</v>
      </c>
      <c r="C19" s="27" t="s">
        <v>3</v>
      </c>
      <c r="D19" s="28">
        <f>'Unintensified Cameras'!D19*17.5/SQRT('Unintensified Cameras'!D19^2+'Unintensified Cameras'!D20^2)</f>
        <v>14.000000000000002</v>
      </c>
      <c r="E19" s="28">
        <f>'Unintensified Cameras'!E19*17.5/SQRT('Unintensified Cameras'!E19^2+'Unintensified Cameras'!E20^2)</f>
        <v>14</v>
      </c>
      <c r="F19" s="28">
        <f>'Unintensified Cameras'!F19*17.5/SQRT('Unintensified Cameras'!F19^2+'Unintensified Cameras'!F20^2)</f>
        <v>14.000000000000002</v>
      </c>
      <c r="G19" s="28">
        <f>'Unintensified Cameras'!G19*17.5/SQRT('Unintensified Cameras'!G19^2+'Unintensified Cameras'!G20^2)</f>
        <v>15.229494963750545</v>
      </c>
      <c r="H19" s="28">
        <f>'Unintensified Cameras'!H19*17.5/SQRT('Unintensified Cameras'!H19^2+'Unintensified Cameras'!H20^2)</f>
        <v>15.250278986681334</v>
      </c>
      <c r="I19" s="28">
        <f>'Unintensified Cameras'!I19*17.5/SQRT('Unintensified Cameras'!I19^2+'Unintensified Cameras'!I20^2)</f>
        <v>15.250278986681334</v>
      </c>
      <c r="J19" s="28">
        <f>'Unintensified Cameras'!J19*17.5/SQRT('Unintensified Cameras'!J19^2+'Unintensified Cameras'!J20^2)</f>
        <v>14.560880150912265</v>
      </c>
      <c r="K19" s="28">
        <f>'Unintensified Cameras'!K19*17.5/SQRT('Unintensified Cameras'!K19^2+'Unintensified Cameras'!K20^2)</f>
        <v>14.541892935115941</v>
      </c>
      <c r="U19" s="91"/>
    </row>
    <row r="20" spans="1:21" ht="12.75">
      <c r="A20" s="2"/>
      <c r="B20" s="29" t="s">
        <v>2</v>
      </c>
      <c r="C20" s="23" t="s">
        <v>4</v>
      </c>
      <c r="D20" s="30">
        <f>'Unintensified Cameras'!D20*17.5/SQRT('Unintensified Cameras'!D19^2+'Unintensified Cameras'!D20^2)</f>
        <v>10.499999999999998</v>
      </c>
      <c r="E20" s="30">
        <f>'Unintensified Cameras'!E20*17.5/SQRT('Unintensified Cameras'!E19^2+'Unintensified Cameras'!E20^2)</f>
        <v>10.5</v>
      </c>
      <c r="F20" s="30">
        <f>'Unintensified Cameras'!F20*17.5/SQRT('Unintensified Cameras'!F19^2+'Unintensified Cameras'!F20^2)</f>
        <v>10.499999999999998</v>
      </c>
      <c r="G20" s="30">
        <f>'Unintensified Cameras'!G20*17.5/SQRT('Unintensified Cameras'!G19^2+'Unintensified Cameras'!G20^2)</f>
        <v>8.620468847405968</v>
      </c>
      <c r="H20" s="30">
        <f>'Unintensified Cameras'!H20*17.5/SQRT('Unintensified Cameras'!H19^2+'Unintensified Cameras'!H20^2)</f>
        <v>8.583646709201501</v>
      </c>
      <c r="I20" s="30">
        <f>'Unintensified Cameras'!I20*17.5/SQRT('Unintensified Cameras'!I19^2+'Unintensified Cameras'!I20^2)</f>
        <v>8.583646709201501</v>
      </c>
      <c r="J20" s="30">
        <f>'Unintensified Cameras'!J20*17.5/SQRT('Unintensified Cameras'!J19^2+'Unintensified Cameras'!J20^2)</f>
        <v>9.70725343394151</v>
      </c>
      <c r="K20" s="30">
        <f>'Unintensified Cameras'!K20*17.5/SQRT('Unintensified Cameras'!K19^2+'Unintensified Cameras'!K20^2)</f>
        <v>9.735674083679317</v>
      </c>
      <c r="U20" s="91"/>
    </row>
    <row r="21" spans="1:21" ht="12.75">
      <c r="A21" s="2"/>
      <c r="B21" s="26" t="s">
        <v>14</v>
      </c>
      <c r="C21" s="31" t="s">
        <v>16</v>
      </c>
      <c r="D21" s="32">
        <v>670</v>
      </c>
      <c r="E21" s="32">
        <v>760</v>
      </c>
      <c r="F21" s="32">
        <v>960</v>
      </c>
      <c r="G21" s="32">
        <v>1100</v>
      </c>
      <c r="H21" s="32">
        <v>960</v>
      </c>
      <c r="I21" s="32">
        <v>1440</v>
      </c>
      <c r="J21" s="33">
        <f>J19*64*2</f>
        <v>1863.79265931677</v>
      </c>
      <c r="K21" s="33">
        <f>K19*64*2</f>
        <v>1861.3622956948404</v>
      </c>
      <c r="U21" s="91"/>
    </row>
    <row r="22" spans="1:21" ht="12.75">
      <c r="A22" s="2"/>
      <c r="B22" s="29" t="s">
        <v>15</v>
      </c>
      <c r="C22" s="34" t="s">
        <v>17</v>
      </c>
      <c r="D22" s="35">
        <v>500</v>
      </c>
      <c r="E22" s="36">
        <v>500</v>
      </c>
      <c r="F22" s="35">
        <v>480</v>
      </c>
      <c r="G22" s="35">
        <v>972</v>
      </c>
      <c r="H22" s="35">
        <v>540</v>
      </c>
      <c r="I22" s="35">
        <v>1080</v>
      </c>
      <c r="J22" s="37">
        <f>J20*64*2</f>
        <v>1242.5284395445133</v>
      </c>
      <c r="K22" s="37">
        <f>K20*64*2</f>
        <v>1246.1662827109526</v>
      </c>
      <c r="U22" s="91"/>
    </row>
    <row r="23" spans="1:21" ht="12.75">
      <c r="A23" s="2"/>
      <c r="B23" s="26" t="s">
        <v>5</v>
      </c>
      <c r="C23" s="38" t="s">
        <v>7</v>
      </c>
      <c r="D23" s="39">
        <f aca="true" t="shared" si="3" ref="D23:I23">(2*180*ATAN(D$19/(2*D$16)))/PI()</f>
        <v>10.664317763319115</v>
      </c>
      <c r="E23" s="39">
        <f t="shared" si="3"/>
        <v>10.664317763319113</v>
      </c>
      <c r="F23" s="39">
        <f t="shared" si="3"/>
        <v>10.664317763319115</v>
      </c>
      <c r="G23" s="39">
        <f t="shared" si="3"/>
        <v>11.59474523529606</v>
      </c>
      <c r="H23" s="39">
        <f t="shared" si="3"/>
        <v>11.610460836379543</v>
      </c>
      <c r="I23" s="39">
        <f t="shared" si="3"/>
        <v>11.610460836379543</v>
      </c>
      <c r="J23" s="40">
        <f>(2*180*ATAN(J$19/(2*$D$8)))/PI()</f>
        <v>11.088949467814007</v>
      </c>
      <c r="K23" s="40">
        <f>(2*180*ATAN(K$19/(2*$D$8)))/PI()</f>
        <v>11.074579535894417</v>
      </c>
      <c r="U23" s="91"/>
    </row>
    <row r="24" spans="1:21" ht="12.75">
      <c r="A24" s="2"/>
      <c r="B24" s="41"/>
      <c r="C24" s="42" t="s">
        <v>8</v>
      </c>
      <c r="D24" s="43">
        <f aca="true" t="shared" si="4" ref="D24:I24">(2*180*ATAN(D$20/(2*D$16)))/PI()</f>
        <v>8.008345881418775</v>
      </c>
      <c r="E24" s="43">
        <f t="shared" si="4"/>
        <v>8.008345881418776</v>
      </c>
      <c r="F24" s="43">
        <f t="shared" si="4"/>
        <v>8.008345881418775</v>
      </c>
      <c r="G24" s="43">
        <f t="shared" si="4"/>
        <v>6.578317227583782</v>
      </c>
      <c r="H24" s="43">
        <f t="shared" si="4"/>
        <v>6.550279393817852</v>
      </c>
      <c r="I24" s="43">
        <f t="shared" si="4"/>
        <v>6.550279393817852</v>
      </c>
      <c r="J24" s="44">
        <f>(2*180*ATAN(J$20/(2*$D$8)))/PI()</f>
        <v>7.405468767369977</v>
      </c>
      <c r="K24" s="44">
        <f>(2*180*ATAN(K$20/(2*$D$8)))/PI()</f>
        <v>7.427089729754611</v>
      </c>
      <c r="U24" s="91"/>
    </row>
    <row r="25" spans="1:21" ht="12.75">
      <c r="A25" s="2"/>
      <c r="B25" s="29" t="s">
        <v>6</v>
      </c>
      <c r="C25" s="45" t="s">
        <v>36</v>
      </c>
      <c r="D25" s="46">
        <f aca="true" t="shared" si="5" ref="D25:I25">(2*180*ATAN((D$19^2+D$20^2)^0.5/(2*D$16)))/PI()</f>
        <v>13.308850092013191</v>
      </c>
      <c r="E25" s="46">
        <f t="shared" si="5"/>
        <v>13.308850092013191</v>
      </c>
      <c r="F25" s="46">
        <f t="shared" si="5"/>
        <v>13.308850092013191</v>
      </c>
      <c r="G25" s="46">
        <f t="shared" si="5"/>
        <v>13.308850092013191</v>
      </c>
      <c r="H25" s="46">
        <f t="shared" si="5"/>
        <v>13.308850092013191</v>
      </c>
      <c r="I25" s="46">
        <f t="shared" si="5"/>
        <v>13.308850092013191</v>
      </c>
      <c r="J25" s="47">
        <f>(2*180*ATAN((J$19^2+J$20^2)^0.5/(2*$D$8)))/PI()</f>
        <v>13.308850092013191</v>
      </c>
      <c r="K25" s="47">
        <f>(2*180*ATAN((K$19^2+K$20^2)^0.5/(2*$D$8)))/PI()</f>
        <v>13.308850092013191</v>
      </c>
      <c r="U25" s="91"/>
    </row>
    <row r="26" spans="1:21" ht="12.75">
      <c r="A26" s="2"/>
      <c r="B26" s="50" t="s">
        <v>22</v>
      </c>
      <c r="C26" s="51" t="s">
        <v>9</v>
      </c>
      <c r="D26" s="52">
        <f aca="true" t="shared" si="6" ref="D26:K27">2*$D$9*TAN(D23*PI()/360)</f>
        <v>186.6666666666667</v>
      </c>
      <c r="E26" s="52">
        <f t="shared" si="6"/>
        <v>186.66666666666669</v>
      </c>
      <c r="F26" s="52">
        <f t="shared" si="6"/>
        <v>186.6666666666667</v>
      </c>
      <c r="G26" s="52">
        <f t="shared" si="6"/>
        <v>203.05993285000727</v>
      </c>
      <c r="H26" s="52">
        <f t="shared" si="6"/>
        <v>203.3370531557511</v>
      </c>
      <c r="I26" s="52">
        <f t="shared" si="6"/>
        <v>203.3370531557511</v>
      </c>
      <c r="J26" s="52">
        <f t="shared" si="6"/>
        <v>194.1450686788302</v>
      </c>
      <c r="K26" s="52">
        <f t="shared" si="6"/>
        <v>193.89190580154587</v>
      </c>
      <c r="U26" s="91"/>
    </row>
    <row r="27" spans="1:21" ht="12.75">
      <c r="A27" s="2"/>
      <c r="B27" s="29" t="s">
        <v>28</v>
      </c>
      <c r="C27" s="53" t="s">
        <v>8</v>
      </c>
      <c r="D27" s="54">
        <f t="shared" si="6"/>
        <v>139.99999999999997</v>
      </c>
      <c r="E27" s="54">
        <f t="shared" si="6"/>
        <v>140.00000000000003</v>
      </c>
      <c r="F27" s="54">
        <f t="shared" si="6"/>
        <v>139.99999999999997</v>
      </c>
      <c r="G27" s="54">
        <f t="shared" si="6"/>
        <v>114.93958463207959</v>
      </c>
      <c r="H27" s="54">
        <f t="shared" si="6"/>
        <v>114.44862278935337</v>
      </c>
      <c r="I27" s="54">
        <f t="shared" si="6"/>
        <v>114.44862278935337</v>
      </c>
      <c r="J27" s="54">
        <f t="shared" si="6"/>
        <v>129.4300457858868</v>
      </c>
      <c r="K27" s="54">
        <f t="shared" si="6"/>
        <v>129.8089877823909</v>
      </c>
      <c r="U27" s="91"/>
    </row>
    <row r="28" spans="1:21" ht="12.75">
      <c r="A28" s="2"/>
      <c r="B28" s="41" t="s">
        <v>11</v>
      </c>
      <c r="C28" s="51" t="s">
        <v>7</v>
      </c>
      <c r="D28" s="89">
        <f aca="true" t="shared" si="7" ref="D28:I28">(2000*ATAN(D$19/(2*D$21*D$16)))</f>
        <v>0.27860696337196394</v>
      </c>
      <c r="E28" s="89">
        <f t="shared" si="7"/>
        <v>0.24561403385297143</v>
      </c>
      <c r="F28" s="89">
        <f t="shared" si="7"/>
        <v>0.19444444383180443</v>
      </c>
      <c r="G28" s="89">
        <f t="shared" si="7"/>
        <v>0.18459993843033226</v>
      </c>
      <c r="H28" s="89">
        <f t="shared" si="7"/>
        <v>0.21180942957870275</v>
      </c>
      <c r="I28" s="89">
        <f t="shared" si="7"/>
        <v>0.1412062866790875</v>
      </c>
      <c r="J28" s="89">
        <f>(2000*ATAN(J$19/(2*J$21*$D$8)))</f>
        <v>0.10416666657247661</v>
      </c>
      <c r="K28" s="89">
        <f>(2000*ATAN(K$19/(2*K$21*$D$8)))</f>
        <v>0.10416666657247661</v>
      </c>
      <c r="U28" s="91"/>
    </row>
    <row r="29" spans="1:21" ht="12.75">
      <c r="A29" s="2"/>
      <c r="B29" s="41" t="s">
        <v>50</v>
      </c>
      <c r="C29" s="53" t="s">
        <v>8</v>
      </c>
      <c r="D29" s="90">
        <f aca="true" t="shared" si="8" ref="D29:I29">(2000*ATAN(D$20/(2*D$22*D$16)))</f>
        <v>0.2799999981706667</v>
      </c>
      <c r="E29" s="90">
        <f t="shared" si="8"/>
        <v>0.2799999981706667</v>
      </c>
      <c r="F29" s="90">
        <f t="shared" si="8"/>
        <v>0.2916666645990066</v>
      </c>
      <c r="G29" s="90">
        <f t="shared" si="8"/>
        <v>0.11825060133553936</v>
      </c>
      <c r="H29" s="90">
        <f t="shared" si="8"/>
        <v>0.21194189326100007</v>
      </c>
      <c r="I29" s="90">
        <f t="shared" si="8"/>
        <v>0.10597094692800928</v>
      </c>
      <c r="J29" s="90">
        <f>(2000*ATAN(J$20/(2*J$22*$D$8)))</f>
        <v>0.10416666657247663</v>
      </c>
      <c r="K29" s="90">
        <f>(2000*ATAN(K$20/(2*K$22*$D$8)))</f>
        <v>0.10416666657247661</v>
      </c>
      <c r="U29" s="91"/>
    </row>
    <row r="30" spans="1:21" ht="12.75">
      <c r="A30" s="2"/>
      <c r="B30" s="50" t="s">
        <v>21</v>
      </c>
      <c r="C30" s="51" t="s">
        <v>12</v>
      </c>
      <c r="D30" s="59">
        <f aca="true" t="shared" si="9" ref="D30:K31">100*D26/D21</f>
        <v>27.860696517412944</v>
      </c>
      <c r="E30" s="59">
        <f t="shared" si="9"/>
        <v>24.56140350877193</v>
      </c>
      <c r="F30" s="59">
        <f t="shared" si="9"/>
        <v>19.44444444444445</v>
      </c>
      <c r="G30" s="59">
        <f t="shared" si="9"/>
        <v>18.459993895455206</v>
      </c>
      <c r="H30" s="59">
        <f t="shared" si="9"/>
        <v>21.180943037057407</v>
      </c>
      <c r="I30" s="59">
        <f t="shared" si="9"/>
        <v>14.120628691371603</v>
      </c>
      <c r="J30" s="59">
        <f t="shared" si="9"/>
        <v>10.416666666666668</v>
      </c>
      <c r="K30" s="59">
        <f t="shared" si="9"/>
        <v>10.416666666666666</v>
      </c>
      <c r="U30" s="91"/>
    </row>
    <row r="31" spans="1:11" ht="12.75">
      <c r="A31" s="2"/>
      <c r="B31" s="29" t="s">
        <v>40</v>
      </c>
      <c r="C31" s="53" t="s">
        <v>13</v>
      </c>
      <c r="D31" s="60">
        <f t="shared" si="9"/>
        <v>27.999999999999993</v>
      </c>
      <c r="E31" s="60">
        <f t="shared" si="9"/>
        <v>28.000000000000007</v>
      </c>
      <c r="F31" s="60">
        <f t="shared" si="9"/>
        <v>29.16666666666666</v>
      </c>
      <c r="G31" s="60">
        <f t="shared" si="9"/>
        <v>11.825060147333291</v>
      </c>
      <c r="H31" s="60">
        <f t="shared" si="9"/>
        <v>21.194189405435807</v>
      </c>
      <c r="I31" s="60">
        <f t="shared" si="9"/>
        <v>10.597094702717904</v>
      </c>
      <c r="J31" s="60">
        <f t="shared" si="9"/>
        <v>10.416666666666666</v>
      </c>
      <c r="K31" s="60">
        <f t="shared" si="9"/>
        <v>10.416666666666666</v>
      </c>
    </row>
    <row r="32" spans="1:11" ht="25.5">
      <c r="A32" s="2"/>
      <c r="B32" s="50" t="s">
        <v>25</v>
      </c>
      <c r="C32" s="61" t="s">
        <v>29</v>
      </c>
      <c r="D32" s="62">
        <f aca="true" t="shared" si="10" ref="D32:K32">$D$10*D21/(4*TAN(D23*PI()/360))</f>
        <v>717.8571428571427</v>
      </c>
      <c r="E32" s="62">
        <f t="shared" si="10"/>
        <v>814.2857142857142</v>
      </c>
      <c r="F32" s="62">
        <f t="shared" si="10"/>
        <v>1028.5714285714284</v>
      </c>
      <c r="G32" s="62">
        <f t="shared" si="10"/>
        <v>1083.423976912795</v>
      </c>
      <c r="H32" s="62">
        <f t="shared" si="10"/>
        <v>944.2450208665747</v>
      </c>
      <c r="I32" s="62">
        <f t="shared" si="10"/>
        <v>1416.367531299862</v>
      </c>
      <c r="J32" s="62">
        <f t="shared" si="10"/>
        <v>1920.0000000000002</v>
      </c>
      <c r="K32" s="62">
        <f t="shared" si="10"/>
        <v>1920</v>
      </c>
    </row>
    <row r="33" spans="1:11" ht="12.75">
      <c r="A33" s="2"/>
      <c r="B33" s="29" t="s">
        <v>23</v>
      </c>
      <c r="C33" s="53" t="s">
        <v>26</v>
      </c>
      <c r="D33" s="63">
        <f aca="true" t="shared" si="11" ref="D33:K33">2/D21</f>
        <v>0.0029850746268656717</v>
      </c>
      <c r="E33" s="63">
        <f t="shared" si="11"/>
        <v>0.002631578947368421</v>
      </c>
      <c r="F33" s="63">
        <f t="shared" si="11"/>
        <v>0.0020833333333333333</v>
      </c>
      <c r="G33" s="63">
        <f t="shared" si="11"/>
        <v>0.0018181818181818182</v>
      </c>
      <c r="H33" s="63">
        <f t="shared" si="11"/>
        <v>0.0020833333333333333</v>
      </c>
      <c r="I33" s="63">
        <f t="shared" si="11"/>
        <v>0.001388888888888889</v>
      </c>
      <c r="J33" s="63">
        <f t="shared" si="11"/>
        <v>0.0010730807367452348</v>
      </c>
      <c r="K33" s="63">
        <f t="shared" si="11"/>
        <v>0.0010744818483891159</v>
      </c>
    </row>
    <row r="34" spans="1:11" ht="25.5">
      <c r="A34" s="2"/>
      <c r="B34" s="50" t="s">
        <v>24</v>
      </c>
      <c r="C34" s="61" t="s">
        <v>29</v>
      </c>
      <c r="D34" s="64">
        <f aca="true" t="shared" si="12" ref="D34:K34">$D$10*D21/(16*TAN(D23*PI()/360))</f>
        <v>179.46428571428567</v>
      </c>
      <c r="E34" s="64">
        <f t="shared" si="12"/>
        <v>203.57142857142856</v>
      </c>
      <c r="F34" s="64">
        <f t="shared" si="12"/>
        <v>257.1428571428571</v>
      </c>
      <c r="G34" s="64">
        <f t="shared" si="12"/>
        <v>270.85599422819877</v>
      </c>
      <c r="H34" s="64">
        <f t="shared" si="12"/>
        <v>236.06125521664367</v>
      </c>
      <c r="I34" s="64">
        <f t="shared" si="12"/>
        <v>354.0918828249655</v>
      </c>
      <c r="J34" s="64">
        <f t="shared" si="12"/>
        <v>480.00000000000006</v>
      </c>
      <c r="K34" s="64">
        <f t="shared" si="12"/>
        <v>480</v>
      </c>
    </row>
    <row r="35" spans="1:11" ht="12.75">
      <c r="A35" s="2"/>
      <c r="B35" s="29" t="s">
        <v>23</v>
      </c>
      <c r="C35" s="53" t="s">
        <v>26</v>
      </c>
      <c r="D35" s="65">
        <f aca="true" t="shared" si="13" ref="D35:K35">8/D21</f>
        <v>0.011940298507462687</v>
      </c>
      <c r="E35" s="65">
        <f t="shared" si="13"/>
        <v>0.010526315789473684</v>
      </c>
      <c r="F35" s="65">
        <f t="shared" si="13"/>
        <v>0.008333333333333333</v>
      </c>
      <c r="G35" s="65">
        <f t="shared" si="13"/>
        <v>0.007272727272727273</v>
      </c>
      <c r="H35" s="65">
        <f t="shared" si="13"/>
        <v>0.008333333333333333</v>
      </c>
      <c r="I35" s="65">
        <f t="shared" si="13"/>
        <v>0.005555555555555556</v>
      </c>
      <c r="J35" s="65">
        <f t="shared" si="13"/>
        <v>0.004292322946980939</v>
      </c>
      <c r="K35" s="65">
        <f t="shared" si="13"/>
        <v>0.0042979273935564635</v>
      </c>
    </row>
    <row r="36" spans="1:11" ht="25.5">
      <c r="A36" s="2"/>
      <c r="B36" s="50" t="s">
        <v>30</v>
      </c>
      <c r="C36" s="61" t="s">
        <v>29</v>
      </c>
      <c r="D36" s="64">
        <f aca="true" t="shared" si="14" ref="D36:K36">$D$10*D21/(26*TAN(D23*PI()/360))</f>
        <v>110.43956043956041</v>
      </c>
      <c r="E36" s="64">
        <f t="shared" si="14"/>
        <v>125.27472527472527</v>
      </c>
      <c r="F36" s="64">
        <f t="shared" si="14"/>
        <v>158.24175824175822</v>
      </c>
      <c r="G36" s="64">
        <f t="shared" si="14"/>
        <v>166.6806118327377</v>
      </c>
      <c r="H36" s="64">
        <f t="shared" si="14"/>
        <v>145.2684647487038</v>
      </c>
      <c r="I36" s="64">
        <f t="shared" si="14"/>
        <v>217.9026971230557</v>
      </c>
      <c r="J36" s="64">
        <f t="shared" si="14"/>
        <v>295.38461538461536</v>
      </c>
      <c r="K36" s="64">
        <f t="shared" si="14"/>
        <v>295.38461538461536</v>
      </c>
    </row>
    <row r="37" spans="1:11" ht="12.75">
      <c r="A37" s="2"/>
      <c r="B37" s="29" t="s">
        <v>23</v>
      </c>
      <c r="C37" s="53" t="s">
        <v>26</v>
      </c>
      <c r="D37" s="66">
        <f aca="true" t="shared" si="15" ref="D37:K37">13/D21</f>
        <v>0.019402985074626865</v>
      </c>
      <c r="E37" s="66">
        <f t="shared" si="15"/>
        <v>0.017105263157894738</v>
      </c>
      <c r="F37" s="66">
        <f t="shared" si="15"/>
        <v>0.013541666666666667</v>
      </c>
      <c r="G37" s="66">
        <f t="shared" si="15"/>
        <v>0.011818181818181818</v>
      </c>
      <c r="H37" s="66">
        <f t="shared" si="15"/>
        <v>0.013541666666666667</v>
      </c>
      <c r="I37" s="66">
        <f t="shared" si="15"/>
        <v>0.009027777777777777</v>
      </c>
      <c r="J37" s="66">
        <f t="shared" si="15"/>
        <v>0.006975024788844026</v>
      </c>
      <c r="K37" s="66">
        <f t="shared" si="15"/>
        <v>0.0069841320145292525</v>
      </c>
    </row>
    <row r="38" spans="1:11" ht="12.75">
      <c r="A38" s="2"/>
      <c r="B38" s="67"/>
      <c r="C38" s="67"/>
      <c r="D38" s="67"/>
      <c r="E38" s="67"/>
      <c r="F38" s="67"/>
      <c r="G38" s="67"/>
      <c r="H38" s="67"/>
      <c r="I38" s="67"/>
      <c r="J38" s="67"/>
      <c r="K38" s="67"/>
    </row>
    <row r="39" spans="1:11" ht="12.75">
      <c r="A39" s="2"/>
      <c r="B39" s="109" t="s">
        <v>51</v>
      </c>
      <c r="C39" s="67"/>
      <c r="D39" s="67"/>
      <c r="E39" s="67"/>
      <c r="F39" s="67"/>
      <c r="G39" s="67"/>
      <c r="H39" s="67"/>
      <c r="I39" s="67"/>
      <c r="J39" s="67"/>
      <c r="K39" s="67"/>
    </row>
    <row r="40" spans="1:14" ht="12.75">
      <c r="A40" s="2"/>
      <c r="B40" s="67" t="s">
        <v>52</v>
      </c>
      <c r="C40" s="67"/>
      <c r="D40" s="67"/>
      <c r="E40" s="67"/>
      <c r="F40" s="67"/>
      <c r="G40" s="67"/>
      <c r="H40" s="67"/>
      <c r="I40" s="67"/>
      <c r="J40" s="67"/>
      <c r="K40" s="67"/>
      <c r="L40" s="67"/>
      <c r="M40" s="67"/>
      <c r="N40" s="67"/>
    </row>
    <row r="41" ht="12.75">
      <c r="B41" s="49"/>
    </row>
    <row r="42" spans="4:14" ht="12.75">
      <c r="D42" s="67"/>
      <c r="E42" s="67"/>
      <c r="F42" s="67"/>
      <c r="G42" s="67"/>
      <c r="H42" s="67"/>
      <c r="I42" s="67"/>
      <c r="J42" s="67"/>
      <c r="K42" s="67"/>
      <c r="L42" s="67"/>
      <c r="M42" s="67"/>
      <c r="N42" s="67"/>
    </row>
    <row r="43" ht="12.75">
      <c r="B43" s="49"/>
    </row>
    <row r="44" ht="12.75">
      <c r="B44" s="49"/>
    </row>
    <row r="56" spans="4:13" ht="12.75">
      <c r="D56" s="93"/>
      <c r="E56" s="93" t="s">
        <v>44</v>
      </c>
      <c r="F56" s="93" t="s">
        <v>45</v>
      </c>
      <c r="G56" s="93" t="s">
        <v>46</v>
      </c>
      <c r="H56" s="93" t="s">
        <v>39</v>
      </c>
      <c r="I56" s="93" t="s">
        <v>41</v>
      </c>
      <c r="J56" s="93" t="s">
        <v>43</v>
      </c>
      <c r="K56" s="93" t="s">
        <v>38</v>
      </c>
      <c r="L56" s="93" t="s">
        <v>37</v>
      </c>
      <c r="M56" s="48"/>
    </row>
    <row r="57" spans="4:13" ht="12.75">
      <c r="D57" s="93">
        <v>1</v>
      </c>
      <c r="E57" s="94">
        <f>E65</f>
        <v>717.8571428571427</v>
      </c>
      <c r="F57" s="93"/>
      <c r="G57" s="93"/>
      <c r="H57" s="93"/>
      <c r="I57" s="93"/>
      <c r="J57" s="93"/>
      <c r="K57" s="93"/>
      <c r="L57" s="93"/>
      <c r="M57" s="48"/>
    </row>
    <row r="58" spans="4:13" ht="12.75">
      <c r="D58" s="93">
        <v>2</v>
      </c>
      <c r="E58" s="93"/>
      <c r="F58" s="94">
        <f>F65</f>
        <v>814.2857142857142</v>
      </c>
      <c r="G58" s="93"/>
      <c r="H58" s="93"/>
      <c r="I58" s="93"/>
      <c r="J58" s="93"/>
      <c r="K58" s="93"/>
      <c r="L58" s="93"/>
      <c r="M58" s="48"/>
    </row>
    <row r="59" spans="4:13" ht="12.75">
      <c r="D59" s="93">
        <v>3</v>
      </c>
      <c r="E59" s="93"/>
      <c r="F59" s="93"/>
      <c r="G59" s="94">
        <f>G65</f>
        <v>1028.5714285714284</v>
      </c>
      <c r="H59" s="93"/>
      <c r="I59" s="93"/>
      <c r="J59" s="93"/>
      <c r="K59" s="93"/>
      <c r="L59" s="93"/>
      <c r="M59" s="48"/>
    </row>
    <row r="60" spans="4:13" ht="12.75">
      <c r="D60" s="93">
        <v>4</v>
      </c>
      <c r="E60" s="93"/>
      <c r="F60" s="93"/>
      <c r="G60" s="93"/>
      <c r="H60" s="94">
        <f>H65</f>
        <v>1083.423976912795</v>
      </c>
      <c r="I60" s="93"/>
      <c r="J60" s="93"/>
      <c r="K60" s="93"/>
      <c r="L60" s="93"/>
      <c r="M60" s="48"/>
    </row>
    <row r="61" spans="4:13" ht="12.75">
      <c r="D61" s="93">
        <v>5</v>
      </c>
      <c r="E61" s="93"/>
      <c r="F61" s="93"/>
      <c r="G61" s="93"/>
      <c r="H61" s="93"/>
      <c r="I61" s="94">
        <f>I65</f>
        <v>944.2450208665747</v>
      </c>
      <c r="J61" s="93"/>
      <c r="K61" s="93"/>
      <c r="L61" s="93"/>
      <c r="M61" s="48"/>
    </row>
    <row r="62" spans="4:13" ht="12.75">
      <c r="D62" s="93">
        <v>6</v>
      </c>
      <c r="E62" s="93"/>
      <c r="F62" s="93"/>
      <c r="G62" s="95"/>
      <c r="H62" s="95"/>
      <c r="I62" s="93"/>
      <c r="J62" s="94">
        <f>J65</f>
        <v>1416.367531299862</v>
      </c>
      <c r="K62" s="93"/>
      <c r="L62" s="93"/>
      <c r="M62" s="48"/>
    </row>
    <row r="63" spans="4:13" ht="12.75">
      <c r="D63" s="93">
        <v>7</v>
      </c>
      <c r="E63" s="93"/>
      <c r="F63" s="93"/>
      <c r="G63" s="93"/>
      <c r="H63" s="93"/>
      <c r="I63" s="93"/>
      <c r="J63" s="93"/>
      <c r="K63" s="94">
        <f>K65</f>
        <v>1920.0000000000002</v>
      </c>
      <c r="L63" s="93"/>
      <c r="M63" s="48"/>
    </row>
    <row r="64" spans="4:13" ht="12.75">
      <c r="D64" s="93">
        <v>8</v>
      </c>
      <c r="E64" s="93"/>
      <c r="F64" s="93"/>
      <c r="G64" s="93"/>
      <c r="H64" s="93"/>
      <c r="I64" s="93"/>
      <c r="J64" s="93"/>
      <c r="K64" s="93"/>
      <c r="L64" s="94">
        <f>L65</f>
        <v>1920</v>
      </c>
      <c r="M64" s="48"/>
    </row>
    <row r="65" spans="4:13" ht="12.75">
      <c r="D65" s="96"/>
      <c r="E65" s="94">
        <f aca="true" t="shared" si="16" ref="E65:L65">0.4*D$21/(4*TAN(((2*180*ATAN(D$19/(2*75)))/PI())*PI()/360))</f>
        <v>717.8571428571427</v>
      </c>
      <c r="F65" s="94">
        <f t="shared" si="16"/>
        <v>814.2857142857142</v>
      </c>
      <c r="G65" s="94">
        <f t="shared" si="16"/>
        <v>1028.5714285714284</v>
      </c>
      <c r="H65" s="94">
        <f t="shared" si="16"/>
        <v>1083.423976912795</v>
      </c>
      <c r="I65" s="94">
        <f t="shared" si="16"/>
        <v>944.2450208665747</v>
      </c>
      <c r="J65" s="94">
        <f t="shared" si="16"/>
        <v>1416.367531299862</v>
      </c>
      <c r="K65" s="94">
        <f t="shared" si="16"/>
        <v>1920.0000000000002</v>
      </c>
      <c r="L65" s="94">
        <f t="shared" si="16"/>
        <v>1920</v>
      </c>
      <c r="M65" s="48"/>
    </row>
    <row r="66" spans="4:13" ht="12.75">
      <c r="D66" s="48"/>
      <c r="E66" s="48"/>
      <c r="F66" s="48"/>
      <c r="G66" s="48"/>
      <c r="H66" s="48"/>
      <c r="I66" s="48"/>
      <c r="J66" s="48"/>
      <c r="K66" s="48"/>
      <c r="L66" s="48"/>
      <c r="M66" s="48"/>
    </row>
    <row r="67" spans="4:13" ht="12.75">
      <c r="D67" s="67"/>
      <c r="E67" s="67"/>
      <c r="F67" s="67"/>
      <c r="G67" s="48"/>
      <c r="H67" s="48"/>
      <c r="I67" s="48"/>
      <c r="J67" s="48"/>
      <c r="K67" s="48"/>
      <c r="L67" s="48"/>
      <c r="M67" s="48"/>
    </row>
    <row r="68" spans="4:13" ht="12.75">
      <c r="D68" s="67"/>
      <c r="E68" s="67"/>
      <c r="F68" s="67"/>
      <c r="G68" s="48"/>
      <c r="H68" s="48"/>
      <c r="I68" s="48"/>
      <c r="J68" s="48"/>
      <c r="K68" s="48"/>
      <c r="L68" s="48"/>
      <c r="M68" s="48"/>
    </row>
    <row r="69" spans="4:13" ht="12.75">
      <c r="D69" s="48"/>
      <c r="E69" s="48"/>
      <c r="F69" s="48"/>
      <c r="G69" s="48"/>
      <c r="H69" s="48"/>
      <c r="I69" s="48"/>
      <c r="J69" s="48"/>
      <c r="K69" s="48"/>
      <c r="L69" s="48"/>
      <c r="M69" s="48"/>
    </row>
    <row r="70" spans="4:13" ht="12.75">
      <c r="D70" s="48"/>
      <c r="E70" s="48"/>
      <c r="F70" s="48"/>
      <c r="G70" s="48"/>
      <c r="H70" s="48"/>
      <c r="I70" s="48"/>
      <c r="J70" s="48"/>
      <c r="K70" s="48"/>
      <c r="L70" s="48"/>
      <c r="M70" s="48"/>
    </row>
    <row r="71" spans="4:13" ht="12.75">
      <c r="D71" s="48"/>
      <c r="E71" s="48"/>
      <c r="F71" s="48"/>
      <c r="G71" s="48"/>
      <c r="H71" s="48"/>
      <c r="I71" s="48"/>
      <c r="J71" s="48"/>
      <c r="K71" s="48"/>
      <c r="L71" s="48"/>
      <c r="M71" s="48"/>
    </row>
    <row r="72" spans="4:13" ht="12.75">
      <c r="D72" s="48"/>
      <c r="E72" s="48"/>
      <c r="F72" s="48"/>
      <c r="G72" s="48"/>
      <c r="H72" s="48"/>
      <c r="I72" s="48"/>
      <c r="J72" s="48"/>
      <c r="K72" s="48"/>
      <c r="L72" s="48"/>
      <c r="M72" s="48"/>
    </row>
    <row r="73" spans="4:13" ht="12.75">
      <c r="D73" s="48"/>
      <c r="E73" s="48"/>
      <c r="F73" s="48"/>
      <c r="G73" s="48"/>
      <c r="H73" s="48"/>
      <c r="I73" s="48"/>
      <c r="J73" s="48"/>
      <c r="K73" s="48"/>
      <c r="L73" s="48"/>
      <c r="M73" s="48"/>
    </row>
    <row r="74" spans="4:13" ht="12.75">
      <c r="D74" s="48"/>
      <c r="E74" s="48"/>
      <c r="F74" s="48"/>
      <c r="G74" s="48"/>
      <c r="H74" s="48"/>
      <c r="I74" s="48"/>
      <c r="J74" s="48"/>
      <c r="K74" s="48"/>
      <c r="L74" s="48"/>
      <c r="M74" s="48"/>
    </row>
    <row r="75" spans="4:13" ht="12.75">
      <c r="D75" s="48"/>
      <c r="M75" s="48"/>
    </row>
    <row r="76" spans="4:13" ht="12.75">
      <c r="D76" s="48"/>
      <c r="E76" s="48"/>
      <c r="F76" s="48"/>
      <c r="G76" s="48"/>
      <c r="H76" s="48"/>
      <c r="I76" s="48"/>
      <c r="J76" s="48"/>
      <c r="K76" s="48"/>
      <c r="L76" s="48"/>
      <c r="M76" s="48"/>
    </row>
    <row r="77" spans="4:13" ht="12.75">
      <c r="D77" s="48"/>
      <c r="E77" s="92"/>
      <c r="F77" s="92"/>
      <c r="G77" s="92"/>
      <c r="H77" s="92"/>
      <c r="I77" s="92"/>
      <c r="J77" s="92"/>
      <c r="K77" s="92"/>
      <c r="L77" s="92"/>
      <c r="M77" s="48"/>
    </row>
  </sheetData>
  <sheetProtection password="D9D9" sheet="1" objects="1" scenarios="1" selectLockedCells="1"/>
  <mergeCells count="5">
    <mergeCell ref="D12:K12"/>
    <mergeCell ref="B17:B18"/>
    <mergeCell ref="D13:F13"/>
    <mergeCell ref="G13:I13"/>
    <mergeCell ref="J13:K13"/>
  </mergeCells>
  <printOptions/>
  <pageMargins left="0.75" right="0.75" top="1" bottom="1" header="0.5" footer="0.5"/>
  <pageSetup fitToHeight="1" fitToWidth="1" horizontalDpi="600" verticalDpi="600" orientation="landscape"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P44"/>
  <sheetViews>
    <sheetView tabSelected="1" zoomScale="80" zoomScaleNormal="80" workbookViewId="0" topLeftCell="A1">
      <selection activeCell="D8" sqref="D8"/>
    </sheetView>
  </sheetViews>
  <sheetFormatPr defaultColWidth="9.140625" defaultRowHeight="12.75"/>
  <cols>
    <col min="1" max="1" width="4.28125" style="1" customWidth="1"/>
    <col min="2" max="2" width="25.421875" style="1" customWidth="1"/>
    <col min="3" max="3" width="14.28125" style="1" customWidth="1"/>
    <col min="4" max="4" width="10.57421875" style="1" customWidth="1"/>
    <col min="5" max="7" width="10.7109375" style="1" customWidth="1"/>
    <col min="8" max="8" width="11.57421875" style="1" customWidth="1"/>
    <col min="9" max="11" width="10.7109375" style="1" customWidth="1"/>
    <col min="12" max="16384" width="9.140625" style="1" customWidth="1"/>
  </cols>
  <sheetData>
    <row r="1" ht="12.75"/>
    <row r="2" ht="12.75"/>
    <row r="3" ht="12.75"/>
    <row r="4" ht="12.75"/>
    <row r="5" ht="12.75"/>
    <row r="6" ht="12.75">
      <c r="B6" s="2" t="s">
        <v>63</v>
      </c>
    </row>
    <row r="7" spans="1:5" ht="13.5" thickBot="1">
      <c r="A7" s="2"/>
      <c r="E7" s="3"/>
    </row>
    <row r="8" spans="1:11" ht="13.5" thickBot="1">
      <c r="A8" s="2"/>
      <c r="B8" s="97"/>
      <c r="C8" s="98" t="s">
        <v>10</v>
      </c>
      <c r="D8" s="107">
        <v>200</v>
      </c>
      <c r="E8" s="104" t="s">
        <v>1</v>
      </c>
      <c r="F8" s="4"/>
      <c r="G8" s="5"/>
      <c r="H8" s="4"/>
      <c r="I8" s="4"/>
      <c r="J8" s="4"/>
      <c r="K8" s="4"/>
    </row>
    <row r="9" spans="1:11" ht="13.5" thickBot="1">
      <c r="A9" s="2"/>
      <c r="B9" s="99"/>
      <c r="C9" s="100" t="s">
        <v>20</v>
      </c>
      <c r="D9" s="103">
        <v>1000</v>
      </c>
      <c r="E9" s="105" t="s">
        <v>27</v>
      </c>
      <c r="F9" s="4"/>
      <c r="G9" s="6"/>
      <c r="H9" s="4"/>
      <c r="I9" s="4"/>
      <c r="J9" s="4"/>
      <c r="K9" s="4"/>
    </row>
    <row r="10" spans="1:11" ht="13.5" thickBot="1">
      <c r="A10" s="2"/>
      <c r="B10" s="101"/>
      <c r="C10" s="102" t="s">
        <v>19</v>
      </c>
      <c r="D10" s="108">
        <v>0.4</v>
      </c>
      <c r="E10" s="106" t="s">
        <v>27</v>
      </c>
      <c r="F10" s="4"/>
      <c r="G10" s="4"/>
      <c r="H10" s="4"/>
      <c r="I10" s="4"/>
      <c r="J10" s="4"/>
      <c r="K10" s="4"/>
    </row>
    <row r="11" spans="1:11" ht="12.75">
      <c r="A11" s="2"/>
      <c r="B11" s="4"/>
      <c r="C11" s="7"/>
      <c r="D11" s="4"/>
      <c r="E11" s="4"/>
      <c r="F11" s="4"/>
      <c r="G11" s="4"/>
      <c r="H11" s="4"/>
      <c r="I11" s="4"/>
      <c r="J11" s="4"/>
      <c r="K11" s="4"/>
    </row>
    <row r="12" spans="1:11" ht="12.75">
      <c r="A12" s="2"/>
      <c r="B12" s="8"/>
      <c r="C12" s="8"/>
      <c r="D12" s="110" t="s">
        <v>69</v>
      </c>
      <c r="E12" s="111"/>
      <c r="F12" s="111"/>
      <c r="G12" s="111"/>
      <c r="H12" s="111"/>
      <c r="I12" s="111"/>
      <c r="J12" s="111"/>
      <c r="K12" s="112"/>
    </row>
    <row r="13" spans="1:11" ht="12.75">
      <c r="A13" s="2"/>
      <c r="B13" s="8"/>
      <c r="C13" s="8"/>
      <c r="D13" s="110" t="s">
        <v>47</v>
      </c>
      <c r="E13" s="111"/>
      <c r="F13" s="111"/>
      <c r="G13" s="115" t="s">
        <v>48</v>
      </c>
      <c r="H13" s="116"/>
      <c r="I13" s="116"/>
      <c r="J13" s="110" t="s">
        <v>49</v>
      </c>
      <c r="K13" s="117"/>
    </row>
    <row r="14" spans="1:11" ht="25.5">
      <c r="A14" s="2"/>
      <c r="B14" s="9"/>
      <c r="C14" s="8" t="s">
        <v>31</v>
      </c>
      <c r="D14" s="10" t="s">
        <v>44</v>
      </c>
      <c r="E14" s="10" t="s">
        <v>64</v>
      </c>
      <c r="F14" s="10" t="s">
        <v>65</v>
      </c>
      <c r="G14" s="10" t="s">
        <v>71</v>
      </c>
      <c r="H14" s="10" t="s">
        <v>41</v>
      </c>
      <c r="I14" s="10" t="s">
        <v>66</v>
      </c>
      <c r="J14" s="10" t="s">
        <v>67</v>
      </c>
      <c r="K14" s="10" t="s">
        <v>37</v>
      </c>
    </row>
    <row r="15" spans="1:11" ht="12.75">
      <c r="A15" s="2"/>
      <c r="B15" s="11"/>
      <c r="C15" s="12" t="s">
        <v>32</v>
      </c>
      <c r="D15" s="13" t="s">
        <v>53</v>
      </c>
      <c r="E15" s="13" t="s">
        <v>54</v>
      </c>
      <c r="F15" s="13" t="s">
        <v>53</v>
      </c>
      <c r="G15" s="13" t="s">
        <v>55</v>
      </c>
      <c r="H15" s="13" t="s">
        <v>56</v>
      </c>
      <c r="I15" s="13" t="s">
        <v>57</v>
      </c>
      <c r="J15" s="13" t="s">
        <v>58</v>
      </c>
      <c r="K15" s="14" t="s">
        <v>59</v>
      </c>
    </row>
    <row r="16" spans="1:11" ht="12.75">
      <c r="A16" s="2"/>
      <c r="B16" s="15" t="s">
        <v>42</v>
      </c>
      <c r="C16" s="16" t="s">
        <v>1</v>
      </c>
      <c r="D16" s="68">
        <v>72</v>
      </c>
      <c r="E16" s="68">
        <v>84</v>
      </c>
      <c r="F16" s="68">
        <v>108</v>
      </c>
      <c r="G16" s="68">
        <v>54</v>
      </c>
      <c r="H16" s="68">
        <v>55</v>
      </c>
      <c r="I16" s="68">
        <v>108</v>
      </c>
      <c r="J16" s="18">
        <f>D8</f>
        <v>200</v>
      </c>
      <c r="K16" s="19">
        <f>D8</f>
        <v>200</v>
      </c>
    </row>
    <row r="17" spans="1:11" ht="12.75">
      <c r="A17" s="2"/>
      <c r="B17" s="113" t="s">
        <v>35</v>
      </c>
      <c r="C17" s="20" t="s">
        <v>33</v>
      </c>
      <c r="D17" s="21">
        <f aca="true" t="shared" si="0" ref="D17:J18">D19*1000/D21</f>
        <v>7.164179104477613</v>
      </c>
      <c r="E17" s="21">
        <f t="shared" si="0"/>
        <v>4.7368421052631575</v>
      </c>
      <c r="F17" s="21">
        <f t="shared" si="0"/>
        <v>5.000000000000001</v>
      </c>
      <c r="G17" s="21">
        <v>5.45</v>
      </c>
      <c r="H17" s="21">
        <f t="shared" si="0"/>
        <v>5.552083333333333</v>
      </c>
      <c r="I17" s="21">
        <f t="shared" si="0"/>
        <v>3.701388888888889</v>
      </c>
      <c r="J17" s="22">
        <f t="shared" si="0"/>
        <v>6.421232876712328</v>
      </c>
      <c r="K17" s="22">
        <f>1000*23.6/3872</f>
        <v>6.095041322314049</v>
      </c>
    </row>
    <row r="18" spans="1:11" ht="12.75">
      <c r="A18" s="2"/>
      <c r="B18" s="114"/>
      <c r="C18" s="23" t="s">
        <v>34</v>
      </c>
      <c r="D18" s="24">
        <f t="shared" si="0"/>
        <v>7.199999999999999</v>
      </c>
      <c r="E18" s="24">
        <f t="shared" si="0"/>
        <v>5.4</v>
      </c>
      <c r="F18" s="24">
        <f t="shared" si="0"/>
        <v>7.499999999999999</v>
      </c>
      <c r="G18" s="24">
        <v>2.72</v>
      </c>
      <c r="H18" s="24">
        <f t="shared" si="0"/>
        <v>5.555555555555555</v>
      </c>
      <c r="I18" s="24">
        <f t="shared" si="0"/>
        <v>2.7777777777777777</v>
      </c>
      <c r="J18" s="25">
        <f t="shared" si="0"/>
        <v>6.421232876712328</v>
      </c>
      <c r="K18" s="25">
        <f>1000*15.8/2592</f>
        <v>6.095679012345679</v>
      </c>
    </row>
    <row r="19" spans="1:11" ht="12.75">
      <c r="A19" s="2"/>
      <c r="B19" s="26" t="s">
        <v>0</v>
      </c>
      <c r="C19" s="27" t="s">
        <v>3</v>
      </c>
      <c r="D19" s="69">
        <f>0.8*6</f>
        <v>4.800000000000001</v>
      </c>
      <c r="E19" s="69">
        <v>3.6</v>
      </c>
      <c r="F19" s="69">
        <f>0.8*6</f>
        <v>4.800000000000001</v>
      </c>
      <c r="G19" s="69">
        <v>5.3</v>
      </c>
      <c r="H19" s="69">
        <v>5.33</v>
      </c>
      <c r="I19" s="69">
        <v>5.33</v>
      </c>
      <c r="J19" s="70">
        <v>22.5</v>
      </c>
      <c r="K19" s="70">
        <v>23.6</v>
      </c>
    </row>
    <row r="20" spans="1:11" ht="12.75">
      <c r="A20" s="2"/>
      <c r="B20" s="29" t="s">
        <v>2</v>
      </c>
      <c r="C20" s="23" t="s">
        <v>4</v>
      </c>
      <c r="D20" s="71">
        <f>0.6*6</f>
        <v>3.5999999999999996</v>
      </c>
      <c r="E20" s="71">
        <v>2.7</v>
      </c>
      <c r="F20" s="71">
        <f>0.6*6</f>
        <v>3.5999999999999996</v>
      </c>
      <c r="G20" s="71">
        <v>3</v>
      </c>
      <c r="H20" s="71">
        <v>3</v>
      </c>
      <c r="I20" s="71">
        <v>3</v>
      </c>
      <c r="J20" s="72">
        <v>15</v>
      </c>
      <c r="K20" s="72">
        <v>15.8</v>
      </c>
    </row>
    <row r="21" spans="1:11" ht="12.75">
      <c r="A21" s="2"/>
      <c r="B21" s="26" t="s">
        <v>14</v>
      </c>
      <c r="C21" s="31" t="s">
        <v>16</v>
      </c>
      <c r="D21" s="73">
        <v>670</v>
      </c>
      <c r="E21" s="73">
        <v>760</v>
      </c>
      <c r="F21" s="73">
        <v>960</v>
      </c>
      <c r="G21" s="73">
        <v>1100</v>
      </c>
      <c r="H21" s="73">
        <v>960</v>
      </c>
      <c r="I21" s="73">
        <v>1440</v>
      </c>
      <c r="J21" s="74">
        <v>3504</v>
      </c>
      <c r="K21" s="74">
        <f>K19*1000/K17</f>
        <v>3872</v>
      </c>
    </row>
    <row r="22" spans="1:11" ht="12.75">
      <c r="A22" s="2"/>
      <c r="B22" s="29" t="s">
        <v>15</v>
      </c>
      <c r="C22" s="34" t="s">
        <v>17</v>
      </c>
      <c r="D22" s="35">
        <v>500</v>
      </c>
      <c r="E22" s="36">
        <v>500</v>
      </c>
      <c r="F22" s="35">
        <v>480</v>
      </c>
      <c r="G22" s="35">
        <v>972</v>
      </c>
      <c r="H22" s="35">
        <v>540</v>
      </c>
      <c r="I22" s="35">
        <v>1080</v>
      </c>
      <c r="J22" s="75">
        <v>2336</v>
      </c>
      <c r="K22" s="74">
        <f>K20*1000/K18</f>
        <v>2592</v>
      </c>
    </row>
    <row r="23" spans="1:11" ht="12.75">
      <c r="A23" s="2"/>
      <c r="B23" s="26" t="s">
        <v>5</v>
      </c>
      <c r="C23" s="38" t="s">
        <v>7</v>
      </c>
      <c r="D23" s="28">
        <f aca="true" t="shared" si="1" ref="D23:I23">(2*180*ATAN(D$19/(2*D$16)))/PI()</f>
        <v>3.818304865992753</v>
      </c>
      <c r="E23" s="28">
        <f t="shared" si="1"/>
        <v>2.455157664269088</v>
      </c>
      <c r="F23" s="28">
        <f t="shared" si="1"/>
        <v>2.546060040113423</v>
      </c>
      <c r="G23" s="28">
        <f t="shared" si="1"/>
        <v>5.618966895729367</v>
      </c>
      <c r="H23" s="28">
        <f t="shared" si="1"/>
        <v>5.548142564877592</v>
      </c>
      <c r="I23" s="28">
        <f t="shared" si="1"/>
        <v>2.827079111339153</v>
      </c>
      <c r="J23" s="40">
        <f>(2*180*ATAN(J$19/(2*$D$8)))/PI()</f>
        <v>6.43898979370566</v>
      </c>
      <c r="K23" s="40">
        <f>(2*180*ATAN(K$19/(2*$D$8)))/PI()</f>
        <v>6.75307342683818</v>
      </c>
    </row>
    <row r="24" spans="1:11" ht="12.75">
      <c r="A24" s="2"/>
      <c r="B24" s="41"/>
      <c r="C24" s="42" t="s">
        <v>8</v>
      </c>
      <c r="D24" s="76">
        <f aca="true" t="shared" si="2" ref="D24:I24">(2*180*ATAN(D$20/(2*D$16)))/PI()</f>
        <v>2.8641923683292925</v>
      </c>
      <c r="E24" s="76">
        <f t="shared" si="2"/>
        <v>1.8414915199138375</v>
      </c>
      <c r="F24" s="76">
        <f t="shared" si="2"/>
        <v>1.9096825077443773</v>
      </c>
      <c r="G24" s="76">
        <f t="shared" si="2"/>
        <v>3.182280542389175</v>
      </c>
      <c r="H24" s="76">
        <f t="shared" si="2"/>
        <v>3.124449833684796</v>
      </c>
      <c r="I24" s="76">
        <f t="shared" si="2"/>
        <v>1.591447105478548</v>
      </c>
      <c r="J24" s="44">
        <f>(2*180*ATAN(J$20/(2*$D$8)))/PI()</f>
        <v>4.295170856597006</v>
      </c>
      <c r="K24" s="44">
        <f>(2*180*ATAN(K$20/(2*$D$8)))/PI()</f>
        <v>4.5240146950401465</v>
      </c>
    </row>
    <row r="25" spans="1:16" ht="12.75">
      <c r="A25" s="2"/>
      <c r="B25" s="29" t="s">
        <v>6</v>
      </c>
      <c r="C25" s="45" t="s">
        <v>36</v>
      </c>
      <c r="D25" s="77">
        <f aca="true" t="shared" si="3" ref="D25:I25">(2*180*ATAN((D$19^2+D$20^2)^0.5/(2*D$16)))/PI()</f>
        <v>4.771888060777625</v>
      </c>
      <c r="E25" s="77">
        <f t="shared" si="3"/>
        <v>3.068682999401537</v>
      </c>
      <c r="F25" s="77">
        <f t="shared" si="3"/>
        <v>3.182280542389175</v>
      </c>
      <c r="G25" s="77">
        <f t="shared" si="3"/>
        <v>6.455019952998123</v>
      </c>
      <c r="H25" s="77">
        <f t="shared" si="3"/>
        <v>6.365029913215379</v>
      </c>
      <c r="I25" s="77">
        <f t="shared" si="3"/>
        <v>3.243921330624115</v>
      </c>
      <c r="J25" s="47">
        <f>(2*180*ATAN((J$19^2+J$20^2)^0.5/(2*$D$8)))/PI()</f>
        <v>7.735088062984272</v>
      </c>
      <c r="K25" s="47">
        <f>(2*180*ATAN((K$19^2+K$20^2)^0.5/(2*$D$8)))/PI()</f>
        <v>8.122571430569614</v>
      </c>
      <c r="N25" s="48"/>
      <c r="O25" s="49"/>
      <c r="P25" s="49"/>
    </row>
    <row r="26" spans="1:16" ht="12.75">
      <c r="A26" s="2"/>
      <c r="B26" s="50" t="s">
        <v>22</v>
      </c>
      <c r="C26" s="51" t="s">
        <v>9</v>
      </c>
      <c r="D26" s="52">
        <f aca="true" t="shared" si="4" ref="D26:K26">2*$D$9*TAN(D23*PI()/360)</f>
        <v>66.66666666666669</v>
      </c>
      <c r="E26" s="52">
        <f t="shared" si="4"/>
        <v>42.857142857142854</v>
      </c>
      <c r="F26" s="52">
        <f t="shared" si="4"/>
        <v>44.44444444444446</v>
      </c>
      <c r="G26" s="52">
        <f t="shared" si="4"/>
        <v>98.14814814814815</v>
      </c>
      <c r="H26" s="52">
        <f t="shared" si="4"/>
        <v>96.90909090909092</v>
      </c>
      <c r="I26" s="52">
        <f t="shared" si="4"/>
        <v>49.35185185185185</v>
      </c>
      <c r="J26" s="52">
        <f t="shared" si="4"/>
        <v>112.5</v>
      </c>
      <c r="K26" s="52">
        <f t="shared" si="4"/>
        <v>118.00000000000001</v>
      </c>
      <c r="P26" s="48"/>
    </row>
    <row r="27" spans="1:16" ht="12.75">
      <c r="A27" s="2"/>
      <c r="B27" s="29" t="s">
        <v>28</v>
      </c>
      <c r="C27" s="53" t="s">
        <v>8</v>
      </c>
      <c r="D27" s="54">
        <f aca="true" t="shared" si="5" ref="D27:K27">2*$D$9*TAN(D24*PI()/360)</f>
        <v>49.99999999999999</v>
      </c>
      <c r="E27" s="54">
        <f t="shared" si="5"/>
        <v>32.142857142857146</v>
      </c>
      <c r="F27" s="54">
        <f t="shared" si="5"/>
        <v>33.333333333333336</v>
      </c>
      <c r="G27" s="54">
        <f t="shared" si="5"/>
        <v>55.55555555555555</v>
      </c>
      <c r="H27" s="54">
        <f t="shared" si="5"/>
        <v>54.54545454545453</v>
      </c>
      <c r="I27" s="54">
        <f t="shared" si="5"/>
        <v>27.77777777777778</v>
      </c>
      <c r="J27" s="54">
        <f t="shared" si="5"/>
        <v>75</v>
      </c>
      <c r="K27" s="54">
        <f t="shared" si="5"/>
        <v>79</v>
      </c>
      <c r="P27" s="55"/>
    </row>
    <row r="28" spans="1:16" ht="12.75">
      <c r="A28" s="2"/>
      <c r="B28" s="41" t="s">
        <v>11</v>
      </c>
      <c r="C28" s="51" t="s">
        <v>7</v>
      </c>
      <c r="D28" s="56">
        <f aca="true" t="shared" si="6" ref="D28:I28">(2000*ATAN(D$19/(2*D$21*D$16)))</f>
        <v>0.09950248748009333</v>
      </c>
      <c r="E28" s="56">
        <f t="shared" si="6"/>
        <v>0.05639097742866569</v>
      </c>
      <c r="F28" s="56">
        <f t="shared" si="6"/>
        <v>0.046296296288027214</v>
      </c>
      <c r="G28" s="56">
        <f t="shared" si="6"/>
        <v>0.08922558916639395</v>
      </c>
      <c r="H28" s="56">
        <f t="shared" si="6"/>
        <v>0.10094696961124645</v>
      </c>
      <c r="I28" s="56">
        <f t="shared" si="6"/>
        <v>0.03427211933820917</v>
      </c>
      <c r="J28" s="89">
        <f>(2000*ATAN(J$19/(2*J$21*$D$8)))</f>
        <v>0.03210616438080371</v>
      </c>
      <c r="K28" s="89">
        <f>(2000*ATAN(K$19/(2*K$21*$D$8)))</f>
        <v>0.030475206609211623</v>
      </c>
      <c r="N28" s="48"/>
      <c r="O28" s="57"/>
      <c r="P28" s="48"/>
    </row>
    <row r="29" spans="1:16" ht="12.75">
      <c r="A29" s="2"/>
      <c r="B29" s="41" t="s">
        <v>50</v>
      </c>
      <c r="C29" s="53" t="s">
        <v>8</v>
      </c>
      <c r="D29" s="58">
        <f aca="true" t="shared" si="7" ref="D29:I29">(2000*ATAN(D$20/(2*D$22*D$16)))</f>
        <v>0.09999999991666665</v>
      </c>
      <c r="E29" s="58">
        <f t="shared" si="7"/>
        <v>0.06428571426357507</v>
      </c>
      <c r="F29" s="58">
        <f t="shared" si="7"/>
        <v>0.06944444441653627</v>
      </c>
      <c r="G29" s="58">
        <f t="shared" si="7"/>
        <v>0.05715592133789247</v>
      </c>
      <c r="H29" s="58">
        <f t="shared" si="7"/>
        <v>0.10101010092421683</v>
      </c>
      <c r="I29" s="58">
        <f t="shared" si="7"/>
        <v>0.025720164607635616</v>
      </c>
      <c r="J29" s="90">
        <f>(2000*ATAN(J$20/(2*J$22*$D$8)))</f>
        <v>0.03210616438080371</v>
      </c>
      <c r="K29" s="90">
        <f>(2000*ATAN(K$20/(2*K$22*$D$8)))</f>
        <v>0.030478395059369032</v>
      </c>
      <c r="P29" s="48"/>
    </row>
    <row r="30" spans="1:11" ht="12.75">
      <c r="A30" s="2"/>
      <c r="B30" s="50" t="s">
        <v>21</v>
      </c>
      <c r="C30" s="51" t="s">
        <v>12</v>
      </c>
      <c r="D30" s="59">
        <f aca="true" t="shared" si="8" ref="D30:K30">100*D26/D21</f>
        <v>9.950248756218908</v>
      </c>
      <c r="E30" s="59">
        <f t="shared" si="8"/>
        <v>5.639097744360901</v>
      </c>
      <c r="F30" s="59">
        <f t="shared" si="8"/>
        <v>4.629629629629631</v>
      </c>
      <c r="G30" s="59">
        <f t="shared" si="8"/>
        <v>8.922558922558924</v>
      </c>
      <c r="H30" s="59">
        <f t="shared" si="8"/>
        <v>10.09469696969697</v>
      </c>
      <c r="I30" s="59">
        <f t="shared" si="8"/>
        <v>3.427211934156378</v>
      </c>
      <c r="J30" s="59">
        <f t="shared" si="8"/>
        <v>3.210616438356164</v>
      </c>
      <c r="K30" s="59">
        <f t="shared" si="8"/>
        <v>3.047520661157025</v>
      </c>
    </row>
    <row r="31" spans="1:11" ht="12.75">
      <c r="A31" s="2"/>
      <c r="B31" s="29" t="s">
        <v>40</v>
      </c>
      <c r="C31" s="53" t="s">
        <v>13</v>
      </c>
      <c r="D31" s="60">
        <f aca="true" t="shared" si="9" ref="D31:K31">100*D27/D22</f>
        <v>9.999999999999998</v>
      </c>
      <c r="E31" s="60">
        <f t="shared" si="9"/>
        <v>6.42857142857143</v>
      </c>
      <c r="F31" s="60">
        <f t="shared" si="9"/>
        <v>6.944444444444445</v>
      </c>
      <c r="G31" s="60">
        <f t="shared" si="9"/>
        <v>5.715592135345221</v>
      </c>
      <c r="H31" s="60">
        <f t="shared" si="9"/>
        <v>10.101010101010099</v>
      </c>
      <c r="I31" s="60">
        <f t="shared" si="9"/>
        <v>2.57201646090535</v>
      </c>
      <c r="J31" s="60">
        <f t="shared" si="9"/>
        <v>3.210616438356164</v>
      </c>
      <c r="K31" s="60">
        <f t="shared" si="9"/>
        <v>3.0478395061728394</v>
      </c>
    </row>
    <row r="32" spans="1:11" ht="25.5">
      <c r="A32" s="2"/>
      <c r="B32" s="50" t="s">
        <v>25</v>
      </c>
      <c r="C32" s="61" t="s">
        <v>29</v>
      </c>
      <c r="D32" s="62">
        <f>$D$10*D21/(4*TAN(D23*PI()/360))</f>
        <v>2009.9999999999995</v>
      </c>
      <c r="E32" s="62">
        <f aca="true" t="shared" si="10" ref="E32:K32">$D$10*E21/(4*TAN(E23*PI()/360))</f>
        <v>3546.6666666666674</v>
      </c>
      <c r="F32" s="62">
        <f t="shared" si="10"/>
        <v>4319.999999999998</v>
      </c>
      <c r="G32" s="62">
        <f t="shared" si="10"/>
        <v>2241.509433962264</v>
      </c>
      <c r="H32" s="62">
        <f t="shared" si="10"/>
        <v>1981.2382739212005</v>
      </c>
      <c r="I32" s="62">
        <f t="shared" si="10"/>
        <v>5835.647279549719</v>
      </c>
      <c r="J32" s="62">
        <f t="shared" si="10"/>
        <v>6229.333333333334</v>
      </c>
      <c r="K32" s="62">
        <f t="shared" si="10"/>
        <v>6562.71186440678</v>
      </c>
    </row>
    <row r="33" spans="1:11" ht="12.75">
      <c r="A33" s="2"/>
      <c r="B33" s="29" t="s">
        <v>23</v>
      </c>
      <c r="C33" s="53" t="s">
        <v>26</v>
      </c>
      <c r="D33" s="63">
        <f aca="true" t="shared" si="11" ref="D33:K33">2/D21</f>
        <v>0.0029850746268656717</v>
      </c>
      <c r="E33" s="63">
        <f t="shared" si="11"/>
        <v>0.002631578947368421</v>
      </c>
      <c r="F33" s="63">
        <f t="shared" si="11"/>
        <v>0.0020833333333333333</v>
      </c>
      <c r="G33" s="63">
        <f t="shared" si="11"/>
        <v>0.0018181818181818182</v>
      </c>
      <c r="H33" s="63">
        <f t="shared" si="11"/>
        <v>0.0020833333333333333</v>
      </c>
      <c r="I33" s="63">
        <f t="shared" si="11"/>
        <v>0.001388888888888889</v>
      </c>
      <c r="J33" s="63">
        <f t="shared" si="11"/>
        <v>0.0005707762557077625</v>
      </c>
      <c r="K33" s="63">
        <f t="shared" si="11"/>
        <v>0.0005165289256198347</v>
      </c>
    </row>
    <row r="34" spans="1:11" ht="25.5">
      <c r="A34" s="2"/>
      <c r="B34" s="50" t="s">
        <v>24</v>
      </c>
      <c r="C34" s="61" t="s">
        <v>29</v>
      </c>
      <c r="D34" s="64">
        <f aca="true" t="shared" si="12" ref="D34:K34">$D$10*D21/(16*TAN(D23*PI()/360))</f>
        <v>502.4999999999999</v>
      </c>
      <c r="E34" s="64">
        <f t="shared" si="12"/>
        <v>886.6666666666669</v>
      </c>
      <c r="F34" s="64">
        <f t="shared" si="12"/>
        <v>1079.9999999999995</v>
      </c>
      <c r="G34" s="64">
        <f t="shared" si="12"/>
        <v>560.377358490566</v>
      </c>
      <c r="H34" s="64">
        <f t="shared" si="12"/>
        <v>495.30956848030013</v>
      </c>
      <c r="I34" s="64">
        <f t="shared" si="12"/>
        <v>1458.9118198874298</v>
      </c>
      <c r="J34" s="64">
        <f t="shared" si="12"/>
        <v>1557.3333333333335</v>
      </c>
      <c r="K34" s="64">
        <f t="shared" si="12"/>
        <v>1640.677966101695</v>
      </c>
    </row>
    <row r="35" spans="1:11" ht="12.75">
      <c r="A35" s="2"/>
      <c r="B35" s="29" t="s">
        <v>23</v>
      </c>
      <c r="C35" s="53" t="s">
        <v>26</v>
      </c>
      <c r="D35" s="65">
        <f aca="true" t="shared" si="13" ref="D35:K35">8/D21</f>
        <v>0.011940298507462687</v>
      </c>
      <c r="E35" s="65">
        <f t="shared" si="13"/>
        <v>0.010526315789473684</v>
      </c>
      <c r="F35" s="65">
        <f t="shared" si="13"/>
        <v>0.008333333333333333</v>
      </c>
      <c r="G35" s="65">
        <f t="shared" si="13"/>
        <v>0.007272727272727273</v>
      </c>
      <c r="H35" s="65">
        <f t="shared" si="13"/>
        <v>0.008333333333333333</v>
      </c>
      <c r="I35" s="65">
        <f t="shared" si="13"/>
        <v>0.005555555555555556</v>
      </c>
      <c r="J35" s="65">
        <f t="shared" si="13"/>
        <v>0.00228310502283105</v>
      </c>
      <c r="K35" s="65">
        <f t="shared" si="13"/>
        <v>0.002066115702479339</v>
      </c>
    </row>
    <row r="36" spans="1:11" ht="25.5">
      <c r="A36" s="2"/>
      <c r="B36" s="50" t="s">
        <v>30</v>
      </c>
      <c r="C36" s="61" t="s">
        <v>29</v>
      </c>
      <c r="D36" s="64">
        <f aca="true" t="shared" si="14" ref="D36:K36">$D$10*D21/(26*TAN(D23*PI()/360))</f>
        <v>309.23076923076917</v>
      </c>
      <c r="E36" s="64">
        <f t="shared" si="14"/>
        <v>545.6410256410257</v>
      </c>
      <c r="F36" s="64">
        <f t="shared" si="14"/>
        <v>664.6153846153844</v>
      </c>
      <c r="G36" s="64">
        <f t="shared" si="14"/>
        <v>344.84760522496373</v>
      </c>
      <c r="H36" s="64">
        <f t="shared" si="14"/>
        <v>304.80588829556933</v>
      </c>
      <c r="I36" s="64">
        <f t="shared" si="14"/>
        <v>897.7918891614952</v>
      </c>
      <c r="J36" s="64">
        <f t="shared" si="14"/>
        <v>958.3589743589744</v>
      </c>
      <c r="K36" s="64">
        <f t="shared" si="14"/>
        <v>1009.6479791395046</v>
      </c>
    </row>
    <row r="37" spans="1:11" ht="12.75">
      <c r="A37" s="2"/>
      <c r="B37" s="29" t="s">
        <v>23</v>
      </c>
      <c r="C37" s="53" t="s">
        <v>26</v>
      </c>
      <c r="D37" s="66">
        <f aca="true" t="shared" si="15" ref="D37:K37">13/D21</f>
        <v>0.019402985074626865</v>
      </c>
      <c r="E37" s="66">
        <f t="shared" si="15"/>
        <v>0.017105263157894738</v>
      </c>
      <c r="F37" s="66">
        <f t="shared" si="15"/>
        <v>0.013541666666666667</v>
      </c>
      <c r="G37" s="66">
        <f t="shared" si="15"/>
        <v>0.011818181818181818</v>
      </c>
      <c r="H37" s="66">
        <f t="shared" si="15"/>
        <v>0.013541666666666667</v>
      </c>
      <c r="I37" s="66">
        <f t="shared" si="15"/>
        <v>0.009027777777777777</v>
      </c>
      <c r="J37" s="66">
        <f t="shared" si="15"/>
        <v>0.0037100456621004564</v>
      </c>
      <c r="K37" s="66">
        <f t="shared" si="15"/>
        <v>0.0033574380165289257</v>
      </c>
    </row>
    <row r="38" spans="1:14" ht="12.75">
      <c r="A38" s="2"/>
      <c r="B38" s="67"/>
      <c r="C38" s="67"/>
      <c r="D38" s="67"/>
      <c r="E38" s="67"/>
      <c r="F38" s="67"/>
      <c r="G38" s="67"/>
      <c r="H38" s="67"/>
      <c r="I38" s="67"/>
      <c r="J38" s="67"/>
      <c r="K38" s="67"/>
      <c r="L38" s="67"/>
      <c r="M38" s="67"/>
      <c r="N38" s="67"/>
    </row>
    <row r="39" spans="1:14" ht="12.75">
      <c r="A39" s="2"/>
      <c r="B39" s="109" t="s">
        <v>51</v>
      </c>
      <c r="C39" s="67"/>
      <c r="D39" s="67"/>
      <c r="E39" s="67"/>
      <c r="F39" s="67"/>
      <c r="G39" s="67"/>
      <c r="H39" s="67"/>
      <c r="I39" s="67"/>
      <c r="J39" s="67"/>
      <c r="K39" s="67"/>
      <c r="L39" s="67"/>
      <c r="M39" s="67"/>
      <c r="N39" s="67"/>
    </row>
    <row r="40" spans="1:14" ht="12.75">
      <c r="A40" s="2"/>
      <c r="B40" s="67" t="s">
        <v>52</v>
      </c>
      <c r="C40" s="67"/>
      <c r="D40" s="67"/>
      <c r="E40" s="67"/>
      <c r="F40" s="67"/>
      <c r="G40" s="67"/>
      <c r="H40" s="67"/>
      <c r="I40" s="67"/>
      <c r="J40" s="67"/>
      <c r="K40" s="67"/>
      <c r="L40" s="67"/>
      <c r="M40" s="67"/>
      <c r="N40" s="67"/>
    </row>
    <row r="41" ht="12.75">
      <c r="B41" s="49"/>
    </row>
    <row r="42" spans="4:14" ht="12.75">
      <c r="D42" s="67"/>
      <c r="E42" s="67"/>
      <c r="F42" s="67"/>
      <c r="G42" s="67"/>
      <c r="H42" s="67"/>
      <c r="I42" s="67"/>
      <c r="J42" s="67"/>
      <c r="K42" s="67"/>
      <c r="L42" s="67"/>
      <c r="M42" s="67"/>
      <c r="N42" s="67"/>
    </row>
    <row r="43" ht="12.75">
      <c r="B43" s="49"/>
    </row>
    <row r="44" ht="12.75">
      <c r="B44" s="49"/>
    </row>
  </sheetData>
  <sheetProtection password="D9D9" sheet="1" objects="1" scenarios="1" selectLockedCells="1"/>
  <mergeCells count="5">
    <mergeCell ref="D12:K12"/>
    <mergeCell ref="B17:B18"/>
    <mergeCell ref="D13:F13"/>
    <mergeCell ref="G13:I13"/>
    <mergeCell ref="J13:K13"/>
  </mergeCells>
  <printOptions/>
  <pageMargins left="0.75" right="0.75" top="1" bottom="1" header="0.5" footer="0.5"/>
  <pageSetup fitToHeight="1" fitToWidth="1" horizontalDpi="600" verticalDpi="600" orientation="landscape" scale="76" r:id="rId2"/>
  <drawing r:id="rId1"/>
</worksheet>
</file>

<file path=xl/worksheets/sheet4.xml><?xml version="1.0" encoding="utf-8"?>
<worksheet xmlns="http://schemas.openxmlformats.org/spreadsheetml/2006/main" xmlns:r="http://schemas.openxmlformats.org/officeDocument/2006/relationships">
  <dimension ref="A6:O39"/>
  <sheetViews>
    <sheetView zoomScale="90" zoomScaleNormal="90" workbookViewId="0" topLeftCell="A1">
      <selection activeCell="D8" sqref="D8"/>
    </sheetView>
  </sheetViews>
  <sheetFormatPr defaultColWidth="9.140625" defaultRowHeight="12.75"/>
  <cols>
    <col min="1" max="1" width="4.28125" style="1" customWidth="1"/>
    <col min="2" max="2" width="25.421875" style="1" customWidth="1"/>
    <col min="3" max="3" width="14.28125" style="1" customWidth="1"/>
    <col min="4" max="4" width="9.28125" style="1" bestFit="1" customWidth="1"/>
    <col min="5" max="5" width="11.7109375" style="1" customWidth="1"/>
    <col min="6" max="6" width="11.57421875" style="1" customWidth="1"/>
    <col min="7" max="7" width="10.7109375" style="1" customWidth="1"/>
    <col min="8" max="16384" width="9.140625" style="1" customWidth="1"/>
  </cols>
  <sheetData>
    <row r="2" ht="12.75"/>
    <row r="3" ht="12.75"/>
    <row r="4" ht="12.75"/>
    <row r="5" ht="12.75"/>
    <row r="6" ht="12.75">
      <c r="B6" s="2" t="s">
        <v>63</v>
      </c>
    </row>
    <row r="7" ht="13.5" thickBot="1">
      <c r="A7" s="2"/>
    </row>
    <row r="8" spans="1:7" ht="13.5" thickBot="1">
      <c r="A8" s="2"/>
      <c r="B8" s="97"/>
      <c r="C8" s="98" t="s">
        <v>10</v>
      </c>
      <c r="D8" s="107">
        <v>200</v>
      </c>
      <c r="E8" s="104" t="s">
        <v>1</v>
      </c>
      <c r="F8" s="4"/>
      <c r="G8" s="4"/>
    </row>
    <row r="9" spans="1:7" ht="13.5" thickBot="1">
      <c r="A9" s="2"/>
      <c r="B9" s="99"/>
      <c r="C9" s="100" t="s">
        <v>20</v>
      </c>
      <c r="D9" s="103">
        <v>1000</v>
      </c>
      <c r="E9" s="105" t="s">
        <v>27</v>
      </c>
      <c r="F9" s="4"/>
      <c r="G9" s="4"/>
    </row>
    <row r="10" spans="1:7" ht="13.5" thickBot="1">
      <c r="A10" s="2"/>
      <c r="B10" s="101"/>
      <c r="C10" s="102" t="s">
        <v>19</v>
      </c>
      <c r="D10" s="108">
        <v>0.4</v>
      </c>
      <c r="E10" s="106" t="s">
        <v>27</v>
      </c>
      <c r="F10" s="4"/>
      <c r="G10" s="4"/>
    </row>
    <row r="11" spans="1:11" ht="12.75">
      <c r="A11" s="2"/>
      <c r="B11" s="4"/>
      <c r="C11" s="7"/>
      <c r="D11" s="4"/>
      <c r="E11" s="4"/>
      <c r="F11" s="4"/>
      <c r="G11" s="4"/>
      <c r="K11" s="82"/>
    </row>
    <row r="12" spans="1:5" ht="38.25">
      <c r="A12" s="2"/>
      <c r="B12" s="9"/>
      <c r="C12" s="8" t="s">
        <v>31</v>
      </c>
      <c r="D12" s="10" t="s">
        <v>60</v>
      </c>
      <c r="E12" s="10" t="s">
        <v>70</v>
      </c>
    </row>
    <row r="13" spans="1:5" ht="12.75">
      <c r="A13" s="2"/>
      <c r="B13" s="11"/>
      <c r="C13" s="12" t="s">
        <v>32</v>
      </c>
      <c r="D13" s="78" t="s">
        <v>62</v>
      </c>
      <c r="E13" s="78" t="s">
        <v>61</v>
      </c>
    </row>
    <row r="14" spans="1:5" ht="12.75">
      <c r="A14" s="2"/>
      <c r="B14" s="83" t="s">
        <v>10</v>
      </c>
      <c r="C14" s="16" t="s">
        <v>1</v>
      </c>
      <c r="D14" s="83">
        <v>26</v>
      </c>
      <c r="E14" s="84">
        <f>D8</f>
        <v>200</v>
      </c>
    </row>
    <row r="15" spans="1:5" ht="12.75">
      <c r="A15" s="2"/>
      <c r="B15" s="113" t="s">
        <v>35</v>
      </c>
      <c r="C15" s="20" t="s">
        <v>33</v>
      </c>
      <c r="D15" s="85">
        <f>500/64</f>
        <v>7.8125</v>
      </c>
      <c r="E15" s="85">
        <f>500/64</f>
        <v>7.8125</v>
      </c>
    </row>
    <row r="16" spans="1:5" ht="12.75">
      <c r="A16" s="2"/>
      <c r="B16" s="114"/>
      <c r="C16" s="23" t="s">
        <v>34</v>
      </c>
      <c r="D16" s="25">
        <f>500/64</f>
        <v>7.8125</v>
      </c>
      <c r="E16" s="25">
        <f>500/64</f>
        <v>7.8125</v>
      </c>
    </row>
    <row r="17" spans="1:5" ht="12.75">
      <c r="A17" s="2"/>
      <c r="B17" s="26" t="s">
        <v>0</v>
      </c>
      <c r="C17" s="27" t="s">
        <v>3</v>
      </c>
      <c r="D17" s="86">
        <v>17.5</v>
      </c>
      <c r="E17" s="86">
        <v>17.5</v>
      </c>
    </row>
    <row r="18" spans="1:5" ht="12.75">
      <c r="A18" s="2"/>
      <c r="B18" s="29" t="s">
        <v>2</v>
      </c>
      <c r="C18" s="23" t="s">
        <v>4</v>
      </c>
      <c r="D18" s="87">
        <v>17.5</v>
      </c>
      <c r="E18" s="87">
        <v>17.5</v>
      </c>
    </row>
    <row r="19" spans="1:5" ht="12.75">
      <c r="A19" s="2"/>
      <c r="B19" s="26" t="s">
        <v>14</v>
      </c>
      <c r="C19" s="31" t="s">
        <v>16</v>
      </c>
      <c r="D19" s="74">
        <f>D17*1000/D15</f>
        <v>2240</v>
      </c>
      <c r="E19" s="74">
        <f>E17*1000/E15</f>
        <v>2240</v>
      </c>
    </row>
    <row r="20" spans="1:5" ht="12.75">
      <c r="A20" s="2"/>
      <c r="B20" s="29" t="s">
        <v>15</v>
      </c>
      <c r="C20" s="34" t="s">
        <v>17</v>
      </c>
      <c r="D20" s="88">
        <f>D18*1000/D16</f>
        <v>2240</v>
      </c>
      <c r="E20" s="88">
        <f>E18*1000/E16</f>
        <v>2240</v>
      </c>
    </row>
    <row r="21" spans="1:5" ht="12.75">
      <c r="A21" s="2"/>
      <c r="B21" s="26" t="s">
        <v>5</v>
      </c>
      <c r="C21" s="38" t="s">
        <v>7</v>
      </c>
      <c r="D21" s="79">
        <f>(2*180*ATAN(D$17/(2*$D$14)))/PI()</f>
        <v>37.200131772066165</v>
      </c>
      <c r="E21" s="40">
        <f>(2*180*ATAN(E$17/(2*$D$8)))/PI()</f>
        <v>5.010185734482798</v>
      </c>
    </row>
    <row r="22" spans="1:5" ht="12.75">
      <c r="A22" s="2"/>
      <c r="B22" s="41"/>
      <c r="C22" s="42" t="s">
        <v>8</v>
      </c>
      <c r="D22" s="80">
        <f>(2*180*ATAN(D$18/(2*$D$14)))/PI()</f>
        <v>37.200131772066165</v>
      </c>
      <c r="E22" s="44">
        <f>(2*180*ATAN(E$18/(2*$D$8)))/PI()</f>
        <v>5.010185734482798</v>
      </c>
    </row>
    <row r="23" spans="1:15" ht="12.75">
      <c r="A23" s="2"/>
      <c r="B23" s="29" t="s">
        <v>6</v>
      </c>
      <c r="C23" s="45" t="s">
        <v>36</v>
      </c>
      <c r="D23" s="81">
        <f>(2*180*ATAN((D$17^2+D$18^2)^0.5/(2*$D$14)))/PI()</f>
        <v>50.903034522360336</v>
      </c>
      <c r="E23" s="47">
        <f>(2*180*ATAN((E$17^2+E$18^2)^0.5/(2*$D$8)))/PI()</f>
        <v>7.080964589278797</v>
      </c>
      <c r="M23" s="48"/>
      <c r="N23" s="49"/>
      <c r="O23" s="49"/>
    </row>
    <row r="24" spans="1:15" ht="12.75">
      <c r="A24" s="2"/>
      <c r="B24" s="50" t="s">
        <v>22</v>
      </c>
      <c r="C24" s="51" t="s">
        <v>9</v>
      </c>
      <c r="D24" s="52">
        <f>2*$D$9*TAN(D21*PI()/360)</f>
        <v>673.0769230769233</v>
      </c>
      <c r="E24" s="52">
        <f>2*$D$9*TAN(E21*PI()/360)</f>
        <v>87.5</v>
      </c>
      <c r="O24" s="48"/>
    </row>
    <row r="25" spans="1:15" ht="12.75">
      <c r="A25" s="2"/>
      <c r="B25" s="29" t="s">
        <v>28</v>
      </c>
      <c r="C25" s="53" t="s">
        <v>8</v>
      </c>
      <c r="D25" s="54">
        <f>2*$D$9*TAN(D22*PI()/360)</f>
        <v>673.0769230769233</v>
      </c>
      <c r="E25" s="54">
        <f>2*$D$9*TAN(E22*PI()/360)</f>
        <v>87.5</v>
      </c>
      <c r="O25" s="55"/>
    </row>
    <row r="26" spans="1:15" ht="12.75">
      <c r="A26" s="2"/>
      <c r="B26" s="41" t="s">
        <v>11</v>
      </c>
      <c r="C26" s="51" t="s">
        <v>7</v>
      </c>
      <c r="D26" s="56">
        <f>(2000*ATAN(D$17/(2*D$19*$D$14)))</f>
        <v>0.3004807669699346</v>
      </c>
      <c r="E26" s="89">
        <f>(2000*ATAN(E$17/(2*E$19*$D$8)))</f>
        <v>0.039062499995032945</v>
      </c>
      <c r="M26" s="48"/>
      <c r="N26" s="57"/>
      <c r="O26" s="48"/>
    </row>
    <row r="27" spans="1:15" ht="12.75">
      <c r="A27" s="2"/>
      <c r="B27" s="41" t="s">
        <v>18</v>
      </c>
      <c r="C27" s="53" t="s">
        <v>8</v>
      </c>
      <c r="D27" s="58">
        <f>(2000*ATAN(D$18/(2*D$20*$D$14)))</f>
        <v>0.3004807669699346</v>
      </c>
      <c r="E27" s="90">
        <f>(2000*ATAN(E$18/(2*E$20*$D$8)))</f>
        <v>0.039062499995032945</v>
      </c>
      <c r="O27" s="48"/>
    </row>
    <row r="28" spans="1:5" ht="12.75">
      <c r="A28" s="2"/>
      <c r="B28" s="50" t="s">
        <v>21</v>
      </c>
      <c r="C28" s="51" t="s">
        <v>12</v>
      </c>
      <c r="D28" s="59">
        <f>100*D24/D19</f>
        <v>30.04807692307693</v>
      </c>
      <c r="E28" s="59">
        <f>100*E24/E19</f>
        <v>3.90625</v>
      </c>
    </row>
    <row r="29" spans="1:5" ht="12.75">
      <c r="A29" s="2"/>
      <c r="B29" s="29" t="s">
        <v>40</v>
      </c>
      <c r="C29" s="53" t="s">
        <v>13</v>
      </c>
      <c r="D29" s="60">
        <f>110*D25/D20</f>
        <v>33.05288461538463</v>
      </c>
      <c r="E29" s="60">
        <f>110*E25/E20</f>
        <v>4.296875</v>
      </c>
    </row>
    <row r="30" spans="1:5" ht="25.5">
      <c r="A30" s="2"/>
      <c r="B30" s="50" t="s">
        <v>25</v>
      </c>
      <c r="C30" s="61" t="s">
        <v>29</v>
      </c>
      <c r="D30" s="62">
        <f>$D$10*D19/(4*TAN(D21*PI()/360))</f>
        <v>665.5999999999997</v>
      </c>
      <c r="E30" s="62">
        <f>$D$10*E19/(4*TAN(E21*PI()/360))</f>
        <v>5120</v>
      </c>
    </row>
    <row r="31" spans="1:5" ht="12.75">
      <c r="A31" s="2"/>
      <c r="B31" s="29" t="s">
        <v>23</v>
      </c>
      <c r="C31" s="53" t="s">
        <v>26</v>
      </c>
      <c r="D31" s="63">
        <f>2/D19</f>
        <v>0.0008928571428571428</v>
      </c>
      <c r="E31" s="63">
        <f>2/E19</f>
        <v>0.0008928571428571428</v>
      </c>
    </row>
    <row r="32" spans="1:5" ht="25.5">
      <c r="A32" s="2"/>
      <c r="B32" s="50" t="s">
        <v>24</v>
      </c>
      <c r="C32" s="61" t="s">
        <v>29</v>
      </c>
      <c r="D32" s="64">
        <f>$D$10*D19/(16*TAN(D21*PI()/360))</f>
        <v>166.39999999999992</v>
      </c>
      <c r="E32" s="64">
        <f>$D$10*E19/(16*TAN(E21*PI()/360))</f>
        <v>1280</v>
      </c>
    </row>
    <row r="33" spans="1:5" ht="12.75">
      <c r="A33" s="2"/>
      <c r="B33" s="29" t="s">
        <v>23</v>
      </c>
      <c r="C33" s="53" t="s">
        <v>26</v>
      </c>
      <c r="D33" s="65">
        <f>8/D19</f>
        <v>0.0035714285714285713</v>
      </c>
      <c r="E33" s="65">
        <f>8/E19</f>
        <v>0.0035714285714285713</v>
      </c>
    </row>
    <row r="34" spans="1:5" ht="25.5">
      <c r="A34" s="2"/>
      <c r="B34" s="50" t="s">
        <v>30</v>
      </c>
      <c r="C34" s="61" t="s">
        <v>29</v>
      </c>
      <c r="D34" s="64">
        <f>$D$10*D19/(26*TAN(D21*PI()/360))</f>
        <v>102.39999999999996</v>
      </c>
      <c r="E34" s="64">
        <f>$D$10*E19/(26*TAN(E21*PI()/360))</f>
        <v>787.6923076923077</v>
      </c>
    </row>
    <row r="35" spans="1:5" ht="12.75">
      <c r="A35" s="2"/>
      <c r="B35" s="29" t="s">
        <v>23</v>
      </c>
      <c r="C35" s="53" t="s">
        <v>26</v>
      </c>
      <c r="D35" s="66">
        <f>13/D19</f>
        <v>0.005803571428571429</v>
      </c>
      <c r="E35" s="66">
        <f>13/E19</f>
        <v>0.005803571428571429</v>
      </c>
    </row>
    <row r="36" spans="1:15" ht="12.75">
      <c r="A36" s="2"/>
      <c r="B36" s="67"/>
      <c r="C36" s="67"/>
      <c r="D36" s="67"/>
      <c r="E36" s="67"/>
      <c r="F36" s="67"/>
      <c r="G36" s="67"/>
      <c r="H36" s="67"/>
      <c r="I36" s="67"/>
      <c r="J36" s="67"/>
      <c r="K36" s="67"/>
      <c r="L36" s="67"/>
      <c r="M36" s="67"/>
      <c r="N36" s="67"/>
      <c r="O36" s="67"/>
    </row>
    <row r="37" spans="1:15" ht="12.75">
      <c r="A37" s="2"/>
      <c r="B37" s="67"/>
      <c r="C37" s="67"/>
      <c r="D37" s="67"/>
      <c r="E37" s="67"/>
      <c r="F37" s="67"/>
      <c r="G37" s="67"/>
      <c r="H37" s="67"/>
      <c r="I37" s="67"/>
      <c r="J37" s="67"/>
      <c r="K37" s="67"/>
      <c r="L37" s="67"/>
      <c r="M37" s="67"/>
      <c r="N37" s="67"/>
      <c r="O37" s="67"/>
    </row>
    <row r="38" ht="12.75">
      <c r="B38" s="49"/>
    </row>
    <row r="39" spans="4:15" ht="12.75">
      <c r="D39" s="67"/>
      <c r="E39" s="67"/>
      <c r="F39" s="67"/>
      <c r="G39" s="67"/>
      <c r="H39" s="67"/>
      <c r="I39" s="67"/>
      <c r="J39" s="67"/>
      <c r="K39" s="67"/>
      <c r="L39" s="67"/>
      <c r="M39" s="67"/>
      <c r="N39" s="67"/>
      <c r="O39" s="67"/>
    </row>
  </sheetData>
  <sheetProtection password="D9D9" sheet="1" objects="1" scenarios="1" selectLockedCells="1"/>
  <mergeCells count="1">
    <mergeCell ref="B15:B1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Electrophysics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Night Vision Range Calculator</dc:title>
  <dc:subject/>
  <dc:creator>Jay Jones--Director  jjones@electrophysics.com</dc:creator>
  <cp:keywords/>
  <dc:description>Rev 1; August 2006
</dc:description>
  <cp:lastModifiedBy>Rob</cp:lastModifiedBy>
  <cp:lastPrinted>2006-10-09T15:57:16Z</cp:lastPrinted>
  <dcterms:created xsi:type="dcterms:W3CDTF">2001-12-03T22:06:09Z</dcterms:created>
  <dcterms:modified xsi:type="dcterms:W3CDTF">2006-10-10T12:21:58Z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